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workbookProtection workbookAlgorithmName="SHA-512" workbookHashValue="T2hljEA4ZYICk2ezf1gYo4VXT1tlnDNiFyjFdeYwtI51jegbHztdyZc2O28pU/eeLeeZtTsIZfFmGDi/plobPw==" workbookSaltValue="Fckrcy5N9AMn/sodd4WELA==" workbookSpinCount="100000" lockStructure="1"/>
  <bookViews>
    <workbookView xWindow="10230" yWindow="0" windowWidth="22260" windowHeight="12645"/>
  </bookViews>
  <sheets>
    <sheet name="入力画面" sheetId="5" r:id="rId1"/>
    <sheet name="所得計算用シート" sheetId="12" r:id="rId2"/>
    <sheet name="所得計算デ" sheetId="13" state="hidden" r:id="rId3"/>
    <sheet name="給付デ" sheetId="9" state="hidden" r:id="rId4"/>
    <sheet name="給計算" sheetId="11" state="hidden" r:id="rId5"/>
    <sheet name="国デ" sheetId="4" state="hidden" r:id="rId6"/>
    <sheet name="国計算" sheetId="3" state="hidden" r:id="rId7"/>
    <sheet name="後デ" sheetId="7" state="hidden" r:id="rId8"/>
    <sheet name="後計算" sheetId="8" state="hidden" r:id="rId9"/>
    <sheet name="介デ" sheetId="6" state="hidden" r:id="rId10"/>
  </sheets>
  <definedNames>
    <definedName name="_xlnm.Print_Area" localSheetId="0">入力画面!$A$1:$K$17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2" i="5" l="1"/>
  <c r="P12" i="13" l="1"/>
  <c r="P16" i="13" s="1"/>
  <c r="L18" i="13"/>
  <c r="L17" i="13"/>
  <c r="L16" i="13"/>
  <c r="L15" i="13"/>
  <c r="P1" i="13"/>
  <c r="P3" i="13" s="1"/>
  <c r="L7" i="13"/>
  <c r="L6" i="13"/>
  <c r="L5" i="13"/>
  <c r="L4" i="13"/>
  <c r="F1" i="13"/>
  <c r="B13" i="13"/>
  <c r="B11" i="13"/>
  <c r="B12" i="13"/>
  <c r="B8" i="13"/>
  <c r="B9" i="13"/>
  <c r="B10" i="13"/>
  <c r="B6" i="13"/>
  <c r="B7" i="13"/>
  <c r="B5" i="13"/>
  <c r="B4" i="13"/>
  <c r="F9" i="13" l="1"/>
  <c r="F4" i="13"/>
  <c r="R17" i="13"/>
  <c r="P14" i="13"/>
  <c r="R14" i="13"/>
  <c r="R16" i="13"/>
  <c r="P17" i="13"/>
  <c r="P15" i="13"/>
  <c r="R15" i="13" s="1"/>
  <c r="P18" i="13"/>
  <c r="R18" i="13" s="1"/>
  <c r="P7" i="13"/>
  <c r="R7" i="13" s="1"/>
  <c r="P6" i="13"/>
  <c r="R3" i="13"/>
  <c r="R4" i="13"/>
  <c r="P4" i="13"/>
  <c r="R6" i="13"/>
  <c r="P5" i="13"/>
  <c r="R5" i="13" s="1"/>
  <c r="H13" i="13"/>
  <c r="H10" i="13"/>
  <c r="H7" i="13"/>
  <c r="H3" i="13"/>
  <c r="H6" i="13"/>
  <c r="H5" i="13"/>
  <c r="H12" i="13"/>
  <c r="H4" i="13"/>
  <c r="H9" i="13"/>
  <c r="H8" i="13"/>
  <c r="F13" i="13"/>
  <c r="F11" i="13"/>
  <c r="H11" i="13" s="1"/>
  <c r="F10" i="13"/>
  <c r="F12" i="13"/>
  <c r="B11" i="11"/>
  <c r="C11" i="11" s="1"/>
  <c r="D11" i="11" s="1"/>
  <c r="B7" i="11"/>
  <c r="C7" i="11" s="1"/>
  <c r="D7" i="11" s="1"/>
  <c r="M6" i="5" s="1"/>
  <c r="B4" i="11"/>
  <c r="C4" i="11" s="1"/>
  <c r="D4" i="11" s="1"/>
  <c r="M3" i="5" s="1"/>
  <c r="B5" i="11"/>
  <c r="C5" i="11" s="1"/>
  <c r="B6" i="11"/>
  <c r="C6" i="11" s="1"/>
  <c r="D6" i="11" s="1"/>
  <c r="M5" i="5" s="1"/>
  <c r="B8" i="11"/>
  <c r="W8" i="11" s="1"/>
  <c r="B9" i="11"/>
  <c r="W9" i="11" s="1"/>
  <c r="B17" i="11"/>
  <c r="B16" i="11"/>
  <c r="B15" i="11"/>
  <c r="L11" i="11"/>
  <c r="K11" i="11"/>
  <c r="J11" i="11"/>
  <c r="I11" i="11"/>
  <c r="L9" i="11"/>
  <c r="K9" i="11"/>
  <c r="J9" i="11"/>
  <c r="I9" i="11"/>
  <c r="L8" i="11"/>
  <c r="K8" i="11"/>
  <c r="J8" i="11"/>
  <c r="I8" i="11"/>
  <c r="L7" i="11"/>
  <c r="K7" i="11"/>
  <c r="J7" i="11"/>
  <c r="I7" i="11"/>
  <c r="L6" i="11"/>
  <c r="K6" i="11"/>
  <c r="J6" i="11"/>
  <c r="I6" i="11"/>
  <c r="L5" i="11"/>
  <c r="K5" i="11"/>
  <c r="J5" i="11"/>
  <c r="I5" i="11"/>
  <c r="L4" i="11"/>
  <c r="K4" i="11"/>
  <c r="J4" i="11"/>
  <c r="I4" i="11"/>
  <c r="I16" i="9"/>
  <c r="I15" i="9"/>
  <c r="I8" i="9"/>
  <c r="I7" i="9"/>
  <c r="I6" i="9"/>
  <c r="Q11" i="7"/>
  <c r="A11" i="7"/>
  <c r="Q10" i="7"/>
  <c r="A10" i="7"/>
  <c r="Q9" i="7"/>
  <c r="A9" i="7" s="1"/>
  <c r="B11" i="8"/>
  <c r="B5" i="8"/>
  <c r="Q5" i="8" s="1"/>
  <c r="B6" i="8"/>
  <c r="B7" i="8"/>
  <c r="B8" i="8"/>
  <c r="B9" i="8"/>
  <c r="B4" i="8"/>
  <c r="B17" i="8"/>
  <c r="B16" i="8"/>
  <c r="B15" i="8"/>
  <c r="G11" i="8"/>
  <c r="F11" i="8"/>
  <c r="E11" i="8"/>
  <c r="D11" i="8"/>
  <c r="G9" i="8"/>
  <c r="F9" i="8"/>
  <c r="E9" i="8"/>
  <c r="D9" i="8"/>
  <c r="G8" i="8"/>
  <c r="F8" i="8"/>
  <c r="E8" i="8"/>
  <c r="D8" i="8"/>
  <c r="G7" i="8"/>
  <c r="F7" i="8"/>
  <c r="E7" i="8"/>
  <c r="D7" i="8"/>
  <c r="G6" i="8"/>
  <c r="F6" i="8"/>
  <c r="E6" i="8"/>
  <c r="D6" i="8"/>
  <c r="G5" i="8"/>
  <c r="F5" i="8"/>
  <c r="E5" i="8"/>
  <c r="D5" i="8"/>
  <c r="G4" i="8"/>
  <c r="F4" i="8"/>
  <c r="E4" i="8"/>
  <c r="D4" i="8"/>
  <c r="R20" i="13" l="1"/>
  <c r="G15" i="12" s="1"/>
  <c r="R9" i="13"/>
  <c r="G10" i="12" s="1"/>
  <c r="H15" i="13"/>
  <c r="G4" i="12" s="1"/>
  <c r="I9" i="8"/>
  <c r="E11" i="11"/>
  <c r="E4" i="11"/>
  <c r="E5" i="11"/>
  <c r="E9" i="11"/>
  <c r="E8" i="11"/>
  <c r="C9" i="11"/>
  <c r="D9" i="11" s="1"/>
  <c r="M8" i="5" s="1"/>
  <c r="E7" i="11"/>
  <c r="E6" i="11"/>
  <c r="C8" i="11"/>
  <c r="D8" i="11" s="1"/>
  <c r="M7" i="5" s="1"/>
  <c r="P8" i="11"/>
  <c r="P5" i="11"/>
  <c r="N7" i="11"/>
  <c r="O7" i="11" s="1"/>
  <c r="Q7" i="11" s="1"/>
  <c r="M11" i="11"/>
  <c r="P6" i="11"/>
  <c r="N4" i="11"/>
  <c r="O4" i="11" s="1"/>
  <c r="Q4" i="11" s="1"/>
  <c r="X9" i="11"/>
  <c r="P4" i="11"/>
  <c r="N6" i="11"/>
  <c r="O6" i="11" s="1"/>
  <c r="Q6" i="11" s="1"/>
  <c r="N9" i="11"/>
  <c r="O9" i="11" s="1"/>
  <c r="Q9" i="11" s="1"/>
  <c r="P7" i="11"/>
  <c r="N11" i="11"/>
  <c r="O11" i="11" s="1"/>
  <c r="Q11" i="11" s="1"/>
  <c r="N5" i="11"/>
  <c r="O5" i="11" s="1"/>
  <c r="Q5" i="11" s="1"/>
  <c r="N8" i="11"/>
  <c r="O8" i="11" s="1"/>
  <c r="Q8" i="11" s="1"/>
  <c r="P11" i="11"/>
  <c r="X8" i="11"/>
  <c r="P9" i="11"/>
  <c r="B12" i="11"/>
  <c r="U4" i="11"/>
  <c r="U6" i="11"/>
  <c r="M4" i="11"/>
  <c r="M5" i="11"/>
  <c r="M6" i="11"/>
  <c r="M7" i="11"/>
  <c r="M8" i="11"/>
  <c r="V8" i="11"/>
  <c r="M9" i="11"/>
  <c r="V9" i="11"/>
  <c r="U11" i="11"/>
  <c r="U5" i="11"/>
  <c r="U7" i="11"/>
  <c r="U8" i="11"/>
  <c r="U9" i="11"/>
  <c r="K11" i="8"/>
  <c r="B12" i="8"/>
  <c r="K8" i="8"/>
  <c r="K9" i="8"/>
  <c r="K6" i="8"/>
  <c r="I11" i="8"/>
  <c r="J11" i="8" s="1"/>
  <c r="L11" i="8" s="1"/>
  <c r="R5" i="8"/>
  <c r="K4" i="8"/>
  <c r="I7" i="8"/>
  <c r="J7" i="8" s="1"/>
  <c r="L7" i="8" s="1"/>
  <c r="K7" i="8"/>
  <c r="I4" i="8"/>
  <c r="J4" i="8" s="1"/>
  <c r="P9" i="8"/>
  <c r="K5" i="8"/>
  <c r="H11" i="8"/>
  <c r="I8" i="8"/>
  <c r="J8" i="8" s="1"/>
  <c r="L8" i="8" s="1"/>
  <c r="P8" i="8"/>
  <c r="H6" i="8"/>
  <c r="P7" i="8"/>
  <c r="I6" i="8"/>
  <c r="J6" i="8" s="1"/>
  <c r="L6" i="8" s="1"/>
  <c r="P6" i="8"/>
  <c r="P4" i="8"/>
  <c r="I5" i="8"/>
  <c r="J5" i="8" s="1"/>
  <c r="L5" i="8" s="1"/>
  <c r="P5" i="8"/>
  <c r="H5" i="8"/>
  <c r="P11" i="8"/>
  <c r="S5" i="8"/>
  <c r="I4" i="5" s="1"/>
  <c r="J9" i="8"/>
  <c r="L9" i="8" s="1"/>
  <c r="H8" i="8"/>
  <c r="H4" i="8"/>
  <c r="H9" i="8"/>
  <c r="H7" i="8"/>
  <c r="B4" i="3"/>
  <c r="C4" i="3" s="1"/>
  <c r="D4" i="6"/>
  <c r="D5" i="6"/>
  <c r="D6" i="6"/>
  <c r="D7" i="6"/>
  <c r="D8" i="6"/>
  <c r="D9" i="6"/>
  <c r="D10" i="6"/>
  <c r="D11" i="6"/>
  <c r="D3" i="6"/>
  <c r="F9" i="3"/>
  <c r="E11" i="3"/>
  <c r="F11" i="3"/>
  <c r="G11" i="3"/>
  <c r="D11" i="3"/>
  <c r="E4" i="3"/>
  <c r="F4" i="3"/>
  <c r="G4" i="3"/>
  <c r="E5" i="3"/>
  <c r="F5" i="3"/>
  <c r="G5" i="3"/>
  <c r="E6" i="3"/>
  <c r="F6" i="3"/>
  <c r="G6" i="3"/>
  <c r="E7" i="3"/>
  <c r="F7" i="3"/>
  <c r="G7" i="3"/>
  <c r="E8" i="3"/>
  <c r="F8" i="3"/>
  <c r="G8" i="3"/>
  <c r="E9" i="3"/>
  <c r="G9" i="3"/>
  <c r="D9" i="3"/>
  <c r="D8" i="3"/>
  <c r="D7" i="3"/>
  <c r="D6" i="3"/>
  <c r="D5" i="3"/>
  <c r="D4" i="3"/>
  <c r="B11" i="3"/>
  <c r="B5" i="3"/>
  <c r="C5" i="3" s="1"/>
  <c r="B6" i="3"/>
  <c r="C6" i="3" s="1"/>
  <c r="B7" i="3"/>
  <c r="C7" i="3" s="1"/>
  <c r="B8" i="3"/>
  <c r="C8" i="3" s="1"/>
  <c r="B9" i="3"/>
  <c r="C9" i="3" s="1"/>
  <c r="F12" i="4"/>
  <c r="B17" i="3"/>
  <c r="B16" i="3"/>
  <c r="B15" i="3"/>
  <c r="A9" i="4"/>
  <c r="A10" i="4"/>
  <c r="A8" i="4"/>
  <c r="Q9" i="4"/>
  <c r="Q10" i="4"/>
  <c r="Q8" i="4"/>
  <c r="H7" i="11" l="1"/>
  <c r="O6" i="5" s="1"/>
  <c r="H8" i="11"/>
  <c r="O7" i="5" s="1"/>
  <c r="H9" i="11"/>
  <c r="O8" i="5" s="1"/>
  <c r="G7" i="11"/>
  <c r="F7" i="11"/>
  <c r="M11" i="8"/>
  <c r="O11" i="8" s="1"/>
  <c r="F11" i="11"/>
  <c r="G11" i="11"/>
  <c r="G6" i="11"/>
  <c r="F6" i="11"/>
  <c r="H6" i="11" s="1"/>
  <c r="G5" i="11"/>
  <c r="F5" i="11"/>
  <c r="G9" i="11"/>
  <c r="F9" i="11"/>
  <c r="F8" i="11"/>
  <c r="G8" i="11"/>
  <c r="G4" i="11"/>
  <c r="F4" i="11"/>
  <c r="H4" i="11" s="1"/>
  <c r="O3" i="5" s="1"/>
  <c r="R7" i="11"/>
  <c r="T7" i="11" s="1"/>
  <c r="D5" i="11"/>
  <c r="M4" i="5" s="1"/>
  <c r="R11" i="11"/>
  <c r="T11" i="11" s="1"/>
  <c r="R4" i="11"/>
  <c r="T4" i="11" s="1"/>
  <c r="R8" i="11"/>
  <c r="T8" i="11" s="1"/>
  <c r="R5" i="11"/>
  <c r="T5" i="11" s="1"/>
  <c r="M12" i="11"/>
  <c r="C15" i="11" s="1"/>
  <c r="R6" i="11"/>
  <c r="T6" i="11" s="1"/>
  <c r="O12" i="11"/>
  <c r="C14" i="11" s="1"/>
  <c r="R9" i="11"/>
  <c r="T9" i="11" s="1"/>
  <c r="M9" i="8"/>
  <c r="O9" i="8" s="1"/>
  <c r="M7" i="8"/>
  <c r="O7" i="8" s="1"/>
  <c r="I9" i="3"/>
  <c r="J9" i="3" s="1"/>
  <c r="L9" i="3" s="1"/>
  <c r="M8" i="8"/>
  <c r="O8" i="8" s="1"/>
  <c r="M6" i="8"/>
  <c r="O6" i="8" s="1"/>
  <c r="M5" i="8"/>
  <c r="O5" i="8" s="1"/>
  <c r="I4" i="3"/>
  <c r="J4" i="3" s="1"/>
  <c r="L4" i="3" s="1"/>
  <c r="I6" i="3"/>
  <c r="J6" i="3" s="1"/>
  <c r="L6" i="3" s="1"/>
  <c r="I8" i="3"/>
  <c r="J8" i="3" s="1"/>
  <c r="L8" i="3" s="1"/>
  <c r="I11" i="3"/>
  <c r="J11" i="3" s="1"/>
  <c r="I7" i="3"/>
  <c r="J7" i="3" s="1"/>
  <c r="L7" i="3" s="1"/>
  <c r="I5" i="3"/>
  <c r="J5" i="3" s="1"/>
  <c r="J12" i="8"/>
  <c r="C14" i="8" s="1"/>
  <c r="L4" i="8"/>
  <c r="M4" i="8" s="1"/>
  <c r="O4" i="8" s="1"/>
  <c r="H12" i="8"/>
  <c r="B10" i="3"/>
  <c r="N5" i="4"/>
  <c r="C10" i="3"/>
  <c r="T24" i="3" s="1"/>
  <c r="K5" i="3"/>
  <c r="O27" i="3"/>
  <c r="O28" i="3"/>
  <c r="O29" i="3"/>
  <c r="H5" i="11" l="1"/>
  <c r="O4" i="5" s="1"/>
  <c r="O5" i="5"/>
  <c r="C16" i="11"/>
  <c r="C18" i="11" s="1"/>
  <c r="C17" i="11"/>
  <c r="T13" i="11"/>
  <c r="AB10" i="11" s="1"/>
  <c r="AB11" i="11" s="1"/>
  <c r="AC11" i="11" s="1"/>
  <c r="C15" i="8"/>
  <c r="C17" i="8"/>
  <c r="C16" i="8"/>
  <c r="O13" i="8"/>
  <c r="T14" i="3"/>
  <c r="T4" i="3"/>
  <c r="P4" i="3"/>
  <c r="P14" i="3"/>
  <c r="P26" i="3"/>
  <c r="P6" i="3"/>
  <c r="P16" i="3"/>
  <c r="P9" i="3"/>
  <c r="P19" i="3"/>
  <c r="P8" i="3"/>
  <c r="P18" i="3"/>
  <c r="P7" i="3"/>
  <c r="P17" i="3"/>
  <c r="P25" i="3"/>
  <c r="P5" i="3"/>
  <c r="P15" i="3"/>
  <c r="P24" i="3"/>
  <c r="P29" i="3"/>
  <c r="P28" i="3"/>
  <c r="P27" i="3"/>
  <c r="H11" i="3"/>
  <c r="N4" i="4"/>
  <c r="N3" i="4"/>
  <c r="L5" i="3" s="1"/>
  <c r="M5" i="3" s="1"/>
  <c r="O25" i="3" s="1"/>
  <c r="C18" i="8" l="1"/>
  <c r="O5" i="3"/>
  <c r="O15" i="3"/>
  <c r="H5" i="3"/>
  <c r="H6" i="3"/>
  <c r="H7" i="3"/>
  <c r="H8" i="3"/>
  <c r="H9" i="3"/>
  <c r="H4" i="3"/>
  <c r="J12" i="3"/>
  <c r="V6" i="11" l="1"/>
  <c r="W6" i="11" s="1"/>
  <c r="X6" i="11" s="1"/>
  <c r="V7" i="11"/>
  <c r="W7" i="11" s="1"/>
  <c r="X7" i="11" s="1"/>
  <c r="V11" i="11"/>
  <c r="W11" i="11" s="1"/>
  <c r="X11" i="11" s="1"/>
  <c r="V4" i="11"/>
  <c r="W4" i="11" s="1"/>
  <c r="X4" i="11" s="1"/>
  <c r="V5" i="11"/>
  <c r="W5" i="11" s="1"/>
  <c r="X5" i="11" s="1"/>
  <c r="Q7" i="8"/>
  <c r="R7" i="8" s="1"/>
  <c r="S7" i="8" s="1"/>
  <c r="I6" i="5" s="1"/>
  <c r="Q8" i="8"/>
  <c r="R8" i="8" s="1"/>
  <c r="S8" i="8" s="1"/>
  <c r="I7" i="5" s="1"/>
  <c r="Q9" i="8"/>
  <c r="R9" i="8" s="1"/>
  <c r="S9" i="8" s="1"/>
  <c r="I8" i="5" s="1"/>
  <c r="Q4" i="8"/>
  <c r="R4" i="8" s="1"/>
  <c r="S4" i="8" s="1"/>
  <c r="I3" i="5" s="1"/>
  <c r="Q11" i="8"/>
  <c r="R11" i="8" s="1"/>
  <c r="S11" i="8" s="1"/>
  <c r="I10" i="5" s="1"/>
  <c r="Q6" i="8"/>
  <c r="R6" i="8" s="1"/>
  <c r="S6" i="8" s="1"/>
  <c r="I5" i="5" s="1"/>
  <c r="H12" i="3"/>
  <c r="C14" i="3"/>
  <c r="C15" i="3" l="1"/>
  <c r="C17" i="3"/>
  <c r="C16" i="3"/>
  <c r="W10" i="8"/>
  <c r="W11" i="8" s="1"/>
  <c r="X11" i="8" s="1"/>
  <c r="K6" i="3"/>
  <c r="M6" i="3" s="1"/>
  <c r="O26" i="3" s="1"/>
  <c r="K7" i="3"/>
  <c r="M7" i="3" s="1"/>
  <c r="K8" i="3"/>
  <c r="M8" i="3" s="1"/>
  <c r="K9" i="3"/>
  <c r="M9" i="3" s="1"/>
  <c r="K4" i="3"/>
  <c r="M4" i="3" s="1"/>
  <c r="O24" i="3" s="1"/>
  <c r="O30" i="3" l="1"/>
  <c r="O19" i="3"/>
  <c r="O9" i="3"/>
  <c r="O6" i="3"/>
  <c r="O16" i="3"/>
  <c r="O14" i="3"/>
  <c r="O4" i="3"/>
  <c r="O18" i="3"/>
  <c r="O8" i="3"/>
  <c r="O7" i="3"/>
  <c r="O17" i="3"/>
  <c r="C18" i="3"/>
  <c r="O20" i="3" l="1"/>
  <c r="O10" i="3"/>
  <c r="U24" i="3"/>
  <c r="V24" i="3" s="1"/>
  <c r="V30" i="3" s="1"/>
  <c r="Q17" i="3"/>
  <c r="R17" i="3" s="1"/>
  <c r="S17" i="3" s="1"/>
  <c r="Q8" i="3"/>
  <c r="R8" i="3" s="1"/>
  <c r="S8" i="3" s="1"/>
  <c r="Q16" i="3"/>
  <c r="R16" i="3" s="1"/>
  <c r="S16" i="3" s="1"/>
  <c r="Q25" i="3"/>
  <c r="R25" i="3" s="1"/>
  <c r="Q18" i="3"/>
  <c r="R18" i="3" s="1"/>
  <c r="S18" i="3" s="1"/>
  <c r="Q9" i="3"/>
  <c r="R9" i="3" s="1"/>
  <c r="S9" i="3" s="1"/>
  <c r="Q29" i="3"/>
  <c r="R29" i="3" s="1"/>
  <c r="Q5" i="3"/>
  <c r="R5" i="3" s="1"/>
  <c r="S5" i="3" s="1"/>
  <c r="Q15" i="3"/>
  <c r="R15" i="3" s="1"/>
  <c r="S15" i="3" s="1"/>
  <c r="Q26" i="3"/>
  <c r="R26" i="3" s="1"/>
  <c r="Q19" i="3"/>
  <c r="R19" i="3" s="1"/>
  <c r="S19" i="3" s="1"/>
  <c r="Q27" i="3"/>
  <c r="R27" i="3" s="1"/>
  <c r="Q28" i="3"/>
  <c r="R28" i="3" s="1"/>
  <c r="U4" i="3"/>
  <c r="Q24" i="3"/>
  <c r="R24" i="3" s="1"/>
  <c r="Q6" i="3"/>
  <c r="R6" i="3" s="1"/>
  <c r="S6" i="3" s="1"/>
  <c r="U14" i="3"/>
  <c r="V14" i="3" s="1"/>
  <c r="V20" i="3" s="1"/>
  <c r="Q7" i="3"/>
  <c r="R7" i="3" s="1"/>
  <c r="S7" i="3" s="1"/>
  <c r="Q4" i="3"/>
  <c r="R4" i="3" s="1"/>
  <c r="S4" i="3" s="1"/>
  <c r="Q14" i="3"/>
  <c r="R14" i="3" s="1"/>
  <c r="S14" i="3" s="1"/>
  <c r="S30" i="3" l="1"/>
  <c r="W30" i="3" s="1"/>
  <c r="W31" i="3" s="1"/>
  <c r="X31" i="3" s="1"/>
  <c r="S20" i="3"/>
  <c r="W20" i="3" s="1"/>
  <c r="W21" i="3" s="1"/>
  <c r="X21" i="3" s="1"/>
  <c r="S10" i="3" l="1"/>
  <c r="V4" i="3"/>
  <c r="V10" i="3" s="1"/>
  <c r="W10" i="3" l="1"/>
  <c r="W11" i="3" s="1"/>
  <c r="X11" i="3" s="1"/>
  <c r="W33" i="3" s="1"/>
  <c r="K3" i="5" s="1"/>
</calcChain>
</file>

<file path=xl/comments1.xml><?xml version="1.0" encoding="utf-8"?>
<comments xmlns="http://schemas.openxmlformats.org/spreadsheetml/2006/main">
  <authors>
    <author>作成者</author>
  </authors>
  <commentList>
    <comment ref="M2" authorId="0" shapeId="0">
      <text>
        <r>
          <rPr>
            <sz val="9"/>
            <color indexed="81"/>
            <rFont val="MS P ゴシック"/>
            <family val="3"/>
            <charset val="128"/>
          </rPr>
          <t>１４５万円以上の場合であっても、
収入の額が383万円未満(70歳以上75歳未満の人が２人以上の世帯の場合は520万円未満)のときは２割負担。
70歳以上75歳未満の国保被保険者の「基礎控除後の総所得金額等」の合計額が210万円以下の場合は２割負担。</t>
        </r>
      </text>
    </comment>
    <comment ref="O2" authorId="0" shapeId="0">
      <text>
        <r>
          <rPr>
            <sz val="9"/>
            <color indexed="81"/>
            <rFont val="MS P ゴシック"/>
            <family val="3"/>
            <charset val="128"/>
          </rPr>
          <t>住民税非課税世帯の場合は57,600円ではない。
・世帯主及び全ての国保被保険者が住民税非課税の世帯に属する人
　→24,600円
・世帯主及び全ての国保被保険者が住民税非課税で、かつ世帯全員の各所得が０円となる世帯に属sる人（公的年金収入のみで、その受給額が80万円以下の人。給与所得がある場合は、給与所得から10万円を控除）
　→15,000円</t>
        </r>
      </text>
    </comment>
  </commentList>
</comments>
</file>

<file path=xl/comments2.xml><?xml version="1.0" encoding="utf-8"?>
<comments xmlns="http://schemas.openxmlformats.org/spreadsheetml/2006/main">
  <authors>
    <author>作成者</author>
  </authors>
  <commentList>
    <comment ref="A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住民税課税所得が145万円以上</t>
        </r>
      </text>
    </comment>
    <comment ref="G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住民税非課税
</t>
        </r>
        <r>
          <rPr>
            <sz val="9"/>
            <color indexed="81"/>
            <rFont val="MS P ゴシック"/>
            <family val="3"/>
            <charset val="128"/>
          </rPr>
          <t>＝世帯主及び全ての国保被保険者が住民税非課税の世帯に属する人</t>
        </r>
      </text>
    </comment>
    <comment ref="G18" authorId="0" shapeId="0">
      <text>
        <r>
          <rPr>
            <sz val="9"/>
            <color indexed="81"/>
            <rFont val="MS P ゴシック"/>
            <family val="3"/>
            <charset val="128"/>
          </rPr>
          <t>世帯主及び全ての国保被保険者が住民税非課税の世帯</t>
        </r>
      </text>
    </comment>
    <comment ref="G19" authorId="0" shapeId="0">
      <text>
        <r>
          <rPr>
            <sz val="9"/>
            <color indexed="81"/>
            <rFont val="MS P ゴシック"/>
            <family val="3"/>
            <charset val="128"/>
          </rPr>
          <t>世帯主及び全ての国保被保険者が住民税非課税世帯
　かつ
世帯全員の各所得が０となる世帯に属する人
（公的年金収入のみで、その受領額が80万円以下の人。給与所得がある場合は給与所得から10万円を控除）</t>
        </r>
      </text>
    </comment>
  </commentList>
</comments>
</file>

<file path=xl/comments3.xml><?xml version="1.0" encoding="utf-8"?>
<comments xmlns="http://schemas.openxmlformats.org/spreadsheetml/2006/main">
  <authors>
    <author>作成者</author>
  </authors>
  <commentList>
    <comment ref="F3" authorId="0" shapeId="0">
      <text>
        <r>
          <rPr>
            <sz val="9"/>
            <color indexed="81"/>
            <rFont val="MS P ゴシック"/>
            <family val="3"/>
            <charset val="128"/>
          </rPr>
          <t>旧ただし書所得
（総所得金額等－基礎控除）
で判定</t>
        </r>
      </text>
    </comment>
    <comment ref="G3" authorId="0" shapeId="0">
      <text>
        <r>
          <rPr>
            <sz val="9"/>
            <color indexed="81"/>
            <rFont val="MS P ゴシック"/>
            <family val="3"/>
            <charset val="128"/>
          </rPr>
          <t>課税所得で判定</t>
        </r>
      </text>
    </comment>
    <comment ref="L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特別控除しない場合は、「営業ほか所得」の欄に入力</t>
        </r>
      </text>
    </comment>
    <comment ref="O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合計所得金額ベース</t>
        </r>
      </text>
    </comment>
    <comment ref="B1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43万円＋10万円×（給与所得者等の数－１）</t>
        </r>
      </text>
    </comment>
  </commentList>
</comments>
</file>

<file path=xl/comments4.xml><?xml version="1.0" encoding="utf-8"?>
<comments xmlns="http://schemas.openxmlformats.org/spreadsheetml/2006/main">
  <authors>
    <author>作成者</author>
  </authors>
  <commentList>
    <comment ref="L1" authorId="0" shapeId="0">
      <text>
        <r>
          <rPr>
            <sz val="9"/>
            <color indexed="81"/>
            <rFont val="MS P ゴシック"/>
            <family val="3"/>
            <charset val="128"/>
          </rPr>
          <t>・国保税条例第３条第１項
・地方税法第314条の２第２項</t>
        </r>
      </text>
    </comment>
    <comment ref="R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国保税条例
附則２</t>
        </r>
      </text>
    </comment>
    <comment ref="A2" authorId="0" shapeId="0">
      <text>
        <r>
          <rPr>
            <sz val="9"/>
            <color indexed="81"/>
            <rFont val="MS P ゴシック"/>
            <family val="3"/>
            <charset val="128"/>
          </rPr>
          <t>国保税条例
第２条第１項第１号</t>
        </r>
      </text>
    </comment>
    <comment ref="B2" authorId="0" shapeId="0">
      <text>
        <r>
          <rPr>
            <sz val="9"/>
            <color indexed="81"/>
            <rFont val="MS P ゴシック"/>
            <family val="3"/>
            <charset val="128"/>
          </rPr>
          <t>国保税条例
第３条第１項</t>
        </r>
      </text>
    </comment>
    <comment ref="C2" authorId="0" shapeId="0">
      <text>
        <r>
          <rPr>
            <sz val="9"/>
            <color indexed="81"/>
            <rFont val="MS P ゴシック"/>
            <family val="3"/>
            <charset val="128"/>
          </rPr>
          <t>国保税条例
第５条</t>
        </r>
      </text>
    </comment>
    <comment ref="D2" authorId="0" shapeId="0">
      <text>
        <r>
          <rPr>
            <sz val="9"/>
            <color indexed="81"/>
            <rFont val="MS P ゴシック"/>
            <family val="3"/>
            <charset val="128"/>
          </rPr>
          <t>国保税条例
第５条の２第１号</t>
        </r>
      </text>
    </comment>
    <comment ref="F2" authorId="0" shapeId="0">
      <text>
        <r>
          <rPr>
            <sz val="9"/>
            <color indexed="81"/>
            <rFont val="MS P ゴシック"/>
            <family val="3"/>
            <charset val="128"/>
          </rPr>
          <t>国保税条例
第２条第２項</t>
        </r>
      </text>
    </comment>
    <comment ref="A3" authorId="0" shapeId="0">
      <text>
        <r>
          <rPr>
            <sz val="9"/>
            <color indexed="81"/>
            <rFont val="MS P ゴシック"/>
            <family val="3"/>
            <charset val="128"/>
          </rPr>
          <t>国保税条例
第２条第１項第２号</t>
        </r>
      </text>
    </comment>
    <comment ref="B3" authorId="0" shapeId="0">
      <text>
        <r>
          <rPr>
            <sz val="9"/>
            <color indexed="81"/>
            <rFont val="MS P ゴシック"/>
            <family val="3"/>
            <charset val="128"/>
          </rPr>
          <t>国保税条例
第６条</t>
        </r>
      </text>
    </comment>
    <comment ref="C3" authorId="0" shapeId="0">
      <text>
        <r>
          <rPr>
            <sz val="9"/>
            <color indexed="81"/>
            <rFont val="MS P ゴシック"/>
            <family val="3"/>
            <charset val="128"/>
          </rPr>
          <t>国保税条例
第７条の２</t>
        </r>
      </text>
    </comment>
    <comment ref="D3" authorId="0" shapeId="0">
      <text>
        <r>
          <rPr>
            <sz val="9"/>
            <color indexed="81"/>
            <rFont val="MS P ゴシック"/>
            <family val="3"/>
            <charset val="128"/>
          </rPr>
          <t>国保税条例
第７条の３第１号</t>
        </r>
      </text>
    </comment>
    <comment ref="F3" authorId="0" shapeId="0">
      <text>
        <r>
          <rPr>
            <sz val="9"/>
            <color indexed="81"/>
            <rFont val="MS P ゴシック"/>
            <family val="3"/>
            <charset val="128"/>
          </rPr>
          <t>国保税条例
第２条第３項</t>
        </r>
      </text>
    </comment>
    <comment ref="A4" authorId="0" shapeId="0">
      <text>
        <r>
          <rPr>
            <sz val="9"/>
            <color indexed="81"/>
            <rFont val="MS P ゴシック"/>
            <family val="3"/>
            <charset val="128"/>
          </rPr>
          <t>国保税条例
第２条第１項第３号</t>
        </r>
      </text>
    </comment>
    <comment ref="B4" authorId="0" shapeId="0">
      <text>
        <r>
          <rPr>
            <sz val="9"/>
            <color indexed="81"/>
            <rFont val="MS P ゴシック"/>
            <family val="3"/>
            <charset val="128"/>
          </rPr>
          <t>国保税条例
第８条</t>
        </r>
      </text>
    </comment>
    <comment ref="C4" authorId="0" shapeId="0">
      <text>
        <r>
          <rPr>
            <sz val="9"/>
            <color indexed="81"/>
            <rFont val="MS P ゴシック"/>
            <family val="3"/>
            <charset val="128"/>
          </rPr>
          <t>国保税条例
第９条の２</t>
        </r>
      </text>
    </comment>
    <comment ref="D4" authorId="0" shapeId="0">
      <text>
        <r>
          <rPr>
            <sz val="9"/>
            <color indexed="81"/>
            <rFont val="MS P ゴシック"/>
            <family val="3"/>
            <charset val="128"/>
          </rPr>
          <t>国保税条例
第９条の３</t>
        </r>
      </text>
    </comment>
    <comment ref="F4" authorId="0" shapeId="0">
      <text>
        <r>
          <rPr>
            <sz val="9"/>
            <color indexed="81"/>
            <rFont val="MS P ゴシック"/>
            <family val="3"/>
            <charset val="128"/>
          </rPr>
          <t>国保税条例
第２条第４項</t>
        </r>
      </text>
    </comment>
    <comment ref="A8" authorId="0" shapeId="0">
      <text>
        <r>
          <rPr>
            <sz val="9"/>
            <color indexed="81"/>
            <rFont val="MS P ゴシック"/>
            <family val="3"/>
            <charset val="128"/>
          </rPr>
          <t>国保税条例
第21条第１項第１号</t>
        </r>
      </text>
    </comment>
    <comment ref="A9" authorId="0" shapeId="0">
      <text>
        <r>
          <rPr>
            <sz val="9"/>
            <color indexed="81"/>
            <rFont val="MS P ゴシック"/>
            <family val="3"/>
            <charset val="128"/>
          </rPr>
          <t>国保税条例
第21条第１項第２号</t>
        </r>
      </text>
    </comment>
    <comment ref="A10" authorId="0" shapeId="0">
      <text>
        <r>
          <rPr>
            <sz val="9"/>
            <color indexed="81"/>
            <rFont val="MS P ゴシック"/>
            <family val="3"/>
            <charset val="128"/>
          </rPr>
          <t>国保税条例
第21条第１項第３号</t>
        </r>
      </text>
    </comment>
  </commentList>
</comments>
</file>

<file path=xl/comments5.xml><?xml version="1.0" encoding="utf-8"?>
<comments xmlns="http://schemas.openxmlformats.org/spreadsheetml/2006/main">
  <authors>
    <author>作成者</author>
  </authors>
  <commentList>
    <comment ref="G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特別控除しない場合は、「営業ほか所得」の欄に入力</t>
        </r>
      </text>
    </comment>
    <comment ref="J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合計所得金額ベース</t>
        </r>
      </text>
    </comment>
    <comment ref="B1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43万円＋10万円×（給与所得者等の数－１）</t>
        </r>
      </text>
    </comment>
  </commentList>
</comments>
</file>

<file path=xl/comments6.xml><?xml version="1.0" encoding="utf-8"?>
<comments xmlns="http://schemas.openxmlformats.org/spreadsheetml/2006/main">
  <authors>
    <author>作成者</author>
  </authors>
  <commentList>
    <comment ref="A9" authorId="0" shapeId="0">
      <text>
        <r>
          <rPr>
            <sz val="9"/>
            <color indexed="81"/>
            <rFont val="MS P ゴシック"/>
            <family val="3"/>
            <charset val="128"/>
          </rPr>
          <t>国保税条例
第21条第１項第１号</t>
        </r>
      </text>
    </comment>
    <comment ref="A10" authorId="0" shapeId="0">
      <text>
        <r>
          <rPr>
            <sz val="9"/>
            <color indexed="81"/>
            <rFont val="MS P ゴシック"/>
            <family val="3"/>
            <charset val="128"/>
          </rPr>
          <t>国保税条例
第21条第１項第２号</t>
        </r>
      </text>
    </comment>
    <comment ref="A11" authorId="0" shapeId="0">
      <text>
        <r>
          <rPr>
            <sz val="9"/>
            <color indexed="81"/>
            <rFont val="MS P ゴシック"/>
            <family val="3"/>
            <charset val="128"/>
          </rPr>
          <t>国保税条例
第21条第１項第３号</t>
        </r>
      </text>
    </comment>
  </commentList>
</comments>
</file>

<file path=xl/comments7.xml><?xml version="1.0" encoding="utf-8"?>
<comments xmlns="http://schemas.openxmlformats.org/spreadsheetml/2006/main">
  <authors>
    <author>作成者</author>
  </authors>
  <commentList>
    <comment ref="G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特別控除しない場合は、「営業ほか所得」の欄に入力</t>
        </r>
      </text>
    </comment>
    <comment ref="J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合計所得金額ベース</t>
        </r>
      </text>
    </comment>
    <comment ref="B1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43万円＋10万円×（給与所得者等の数－１）</t>
        </r>
      </text>
    </comment>
  </commentList>
</comments>
</file>

<file path=xl/sharedStrings.xml><?xml version="1.0" encoding="utf-8"?>
<sst xmlns="http://schemas.openxmlformats.org/spreadsheetml/2006/main" count="353" uniqueCount="159">
  <si>
    <t>平等割</t>
    <rPh sb="0" eb="3">
      <t>ビョウドウワリ</t>
    </rPh>
    <phoneticPr fontId="1"/>
  </si>
  <si>
    <t>-</t>
    <phoneticPr fontId="1"/>
  </si>
  <si>
    <t>年齢</t>
    <rPh sb="0" eb="2">
      <t>ネンレイ</t>
    </rPh>
    <phoneticPr fontId="1"/>
  </si>
  <si>
    <t>所得割額</t>
    <rPh sb="0" eb="4">
      <t>ショトクワリガク</t>
    </rPh>
    <phoneticPr fontId="1"/>
  </si>
  <si>
    <t>世帯主</t>
    <rPh sb="0" eb="3">
      <t>セタイヌシ</t>
    </rPh>
    <phoneticPr fontId="1"/>
  </si>
  <si>
    <t>被保険者</t>
    <rPh sb="0" eb="4">
      <t>ヒホケンシャ</t>
    </rPh>
    <phoneticPr fontId="1"/>
  </si>
  <si>
    <t>状態</t>
    <rPh sb="0" eb="2">
      <t>ジョウタイ</t>
    </rPh>
    <phoneticPr fontId="1"/>
  </si>
  <si>
    <t>基準</t>
    <rPh sb="0" eb="2">
      <t>キジュン</t>
    </rPh>
    <phoneticPr fontId="1"/>
  </si>
  <si>
    <t>基礎課税額
(国保医療分)</t>
    <rPh sb="7" eb="12">
      <t>コクホイリョウブン</t>
    </rPh>
    <phoneticPr fontId="1"/>
  </si>
  <si>
    <t>所得割額(率)</t>
    <rPh sb="0" eb="3">
      <t>ショトクワリ</t>
    </rPh>
    <rPh sb="3" eb="4">
      <t>ガク</t>
    </rPh>
    <rPh sb="5" eb="6">
      <t>リツ</t>
    </rPh>
    <phoneticPr fontId="1"/>
  </si>
  <si>
    <t>均等割額</t>
    <rPh sb="0" eb="3">
      <t>キントウワ</t>
    </rPh>
    <rPh sb="3" eb="4">
      <t>ガク</t>
    </rPh>
    <phoneticPr fontId="1"/>
  </si>
  <si>
    <t>限度額</t>
    <rPh sb="0" eb="3">
      <t>ゲンドガク</t>
    </rPh>
    <phoneticPr fontId="1"/>
  </si>
  <si>
    <t>+</t>
    <phoneticPr fontId="1"/>
  </si>
  <si>
    <t>×</t>
    <phoneticPr fontId="1"/>
  </si>
  <si>
    <t>給与所得者等数</t>
    <rPh sb="0" eb="2">
      <t>キュウヨ</t>
    </rPh>
    <rPh sb="2" eb="4">
      <t>ショトク</t>
    </rPh>
    <rPh sb="4" eb="5">
      <t>シャ</t>
    </rPh>
    <rPh sb="5" eb="6">
      <t>トウ</t>
    </rPh>
    <rPh sb="6" eb="7">
      <t>スウ</t>
    </rPh>
    <phoneticPr fontId="1"/>
  </si>
  <si>
    <t>×（</t>
    <phoneticPr fontId="1"/>
  </si>
  <si>
    <t>）</t>
    <phoneticPr fontId="1"/>
  </si>
  <si>
    <t>被保険者数</t>
    <rPh sb="0" eb="5">
      <t>ヒホケンシャスウ</t>
    </rPh>
    <phoneticPr fontId="1"/>
  </si>
  <si>
    <t>令和５年度国保</t>
    <rPh sb="0" eb="2">
      <t>レイワ</t>
    </rPh>
    <rPh sb="3" eb="5">
      <t>ネンド</t>
    </rPh>
    <rPh sb="5" eb="7">
      <t>コクホ</t>
    </rPh>
    <phoneticPr fontId="1"/>
  </si>
  <si>
    <t>税額・税率</t>
    <rPh sb="0" eb="2">
      <t>ゼイガク</t>
    </rPh>
    <rPh sb="3" eb="5">
      <t>ゼイリツ</t>
    </rPh>
    <phoneticPr fontId="1"/>
  </si>
  <si>
    <t>擬主</t>
    <rPh sb="0" eb="1">
      <t>ギ</t>
    </rPh>
    <rPh sb="1" eb="2">
      <t>シュ</t>
    </rPh>
    <phoneticPr fontId="1"/>
  </si>
  <si>
    <t>介護納付金
課税額</t>
    <rPh sb="0" eb="2">
      <t>カイゴ</t>
    </rPh>
    <rPh sb="2" eb="5">
      <t>ノウフキン</t>
    </rPh>
    <rPh sb="6" eb="8">
      <t>カゼイ</t>
    </rPh>
    <rPh sb="8" eb="9">
      <t>ガク</t>
    </rPh>
    <phoneticPr fontId="1"/>
  </si>
  <si>
    <t>後期高齢者支援金等課税額</t>
    <phoneticPr fontId="1"/>
  </si>
  <si>
    <t>n</t>
    <phoneticPr fontId="1"/>
  </si>
  <si>
    <t>N</t>
    <phoneticPr fontId="1"/>
  </si>
  <si>
    <t>軽減判定額</t>
    <rPh sb="0" eb="4">
      <t>ケイゲンハンテイ</t>
    </rPh>
    <rPh sb="4" eb="5">
      <t>ガク</t>
    </rPh>
    <phoneticPr fontId="1"/>
  </si>
  <si>
    <t>給与所得者
等の人数</t>
    <rPh sb="0" eb="2">
      <t>キュウヨ</t>
    </rPh>
    <rPh sb="2" eb="4">
      <t>ショトク</t>
    </rPh>
    <rPh sb="4" eb="5">
      <t>シャ</t>
    </rPh>
    <rPh sb="6" eb="7">
      <t>トウ</t>
    </rPh>
    <rPh sb="8" eb="10">
      <t>ニンズウ</t>
    </rPh>
    <phoneticPr fontId="1"/>
  </si>
  <si>
    <t>被保１</t>
    <rPh sb="0" eb="1">
      <t>ヒ</t>
    </rPh>
    <rPh sb="1" eb="2">
      <t>ホ</t>
    </rPh>
    <phoneticPr fontId="1"/>
  </si>
  <si>
    <t>被保２</t>
    <rPh sb="0" eb="1">
      <t>ヒ</t>
    </rPh>
    <rPh sb="1" eb="2">
      <t>ホ</t>
    </rPh>
    <phoneticPr fontId="1"/>
  </si>
  <si>
    <t>被保３</t>
    <rPh sb="0" eb="1">
      <t>ヒ</t>
    </rPh>
    <rPh sb="1" eb="2">
      <t>ホ</t>
    </rPh>
    <phoneticPr fontId="1"/>
  </si>
  <si>
    <t>被保４</t>
    <rPh sb="0" eb="1">
      <t>ヒ</t>
    </rPh>
    <rPh sb="1" eb="2">
      <t>ホ</t>
    </rPh>
    <phoneticPr fontId="1"/>
  </si>
  <si>
    <t>被保５</t>
    <rPh sb="0" eb="1">
      <t>ヒ</t>
    </rPh>
    <rPh sb="1" eb="2">
      <t>ホ</t>
    </rPh>
    <phoneticPr fontId="1"/>
  </si>
  <si>
    <t>基礎控除額</t>
    <rPh sb="0" eb="5">
      <t>キソコウジョガク</t>
    </rPh>
    <phoneticPr fontId="1"/>
  </si>
  <si>
    <t>前年の合計所得金額</t>
    <rPh sb="0" eb="2">
      <t>ゼンネン</t>
    </rPh>
    <rPh sb="3" eb="9">
      <t>ゴウケイショトクキンガク</t>
    </rPh>
    <phoneticPr fontId="1"/>
  </si>
  <si>
    <t>基礎控除(円)</t>
    <rPh sb="0" eb="4">
      <t>キソコウジョ</t>
    </rPh>
    <rPh sb="5" eb="6">
      <t>エン</t>
    </rPh>
    <phoneticPr fontId="1"/>
  </si>
  <si>
    <t>被保険者数</t>
    <rPh sb="0" eb="5">
      <t>ヒホケンシャスウ</t>
    </rPh>
    <phoneticPr fontId="1"/>
  </si>
  <si>
    <t>分離長期など
（特別控除前）</t>
    <rPh sb="0" eb="4">
      <t>ブンリチョウキ</t>
    </rPh>
    <rPh sb="8" eb="10">
      <t>トクベツ</t>
    </rPh>
    <rPh sb="10" eb="12">
      <t>コウジョ</t>
    </rPh>
    <rPh sb="12" eb="13">
      <t>マエ</t>
    </rPh>
    <phoneticPr fontId="1"/>
  </si>
  <si>
    <t>所得割
基礎額</t>
    <rPh sb="0" eb="3">
      <t>ショトクワリ</t>
    </rPh>
    <rPh sb="4" eb="7">
      <t>キソガク</t>
    </rPh>
    <phoneticPr fontId="1"/>
  </si>
  <si>
    <t>営業ほか
所得</t>
    <rPh sb="0" eb="2">
      <t>エイギョウ</t>
    </rPh>
    <rPh sb="5" eb="7">
      <t>ショトク</t>
    </rPh>
    <phoneticPr fontId="1"/>
  </si>
  <si>
    <t>給与
所得</t>
    <rPh sb="0" eb="2">
      <t>キュウヨ</t>
    </rPh>
    <rPh sb="3" eb="5">
      <t>ショトク</t>
    </rPh>
    <phoneticPr fontId="1"/>
  </si>
  <si>
    <t>年金
所得</t>
    <rPh sb="0" eb="2">
      <t>ネンキン</t>
    </rPh>
    <rPh sb="3" eb="5">
      <t>ショトク</t>
    </rPh>
    <phoneticPr fontId="1"/>
  </si>
  <si>
    <t>円を超え</t>
    <rPh sb="0" eb="1">
      <t>エン</t>
    </rPh>
    <rPh sb="2" eb="3">
      <t>コ</t>
    </rPh>
    <phoneticPr fontId="1"/>
  </si>
  <si>
    <t>円以下</t>
    <rPh sb="0" eb="1">
      <t>エン</t>
    </rPh>
    <rPh sb="1" eb="3">
      <t>イカ</t>
    </rPh>
    <phoneticPr fontId="1"/>
  </si>
  <si>
    <t>総所得
金額</t>
    <rPh sb="0" eb="3">
      <t>ソウショトク</t>
    </rPh>
    <rPh sb="4" eb="6">
      <t>キンガク</t>
    </rPh>
    <phoneticPr fontId="1"/>
  </si>
  <si>
    <t>所得
控除額</t>
    <rPh sb="0" eb="2">
      <t>ショトク</t>
    </rPh>
    <rPh sb="3" eb="5">
      <t>コウジョ</t>
    </rPh>
    <rPh sb="5" eb="6">
      <t>ガク</t>
    </rPh>
    <phoneticPr fontId="1"/>
  </si>
  <si>
    <t>平等割</t>
    <rPh sb="0" eb="3">
      <t>ビョウドウワリ</t>
    </rPh>
    <phoneticPr fontId="1"/>
  </si>
  <si>
    <t>軽減前</t>
    <rPh sb="0" eb="3">
      <t>ケイゲンマエ</t>
    </rPh>
    <phoneticPr fontId="1"/>
  </si>
  <si>
    <t>軽減額</t>
    <rPh sb="0" eb="3">
      <t>ケイゲンガク</t>
    </rPh>
    <phoneticPr fontId="1"/>
  </si>
  <si>
    <t>軽減後</t>
    <rPh sb="0" eb="3">
      <t>ケイゲンゴ</t>
    </rPh>
    <phoneticPr fontId="1"/>
  </si>
  <si>
    <t>医療保険分</t>
    <rPh sb="0" eb="5">
      <t>イリョウホケンブン</t>
    </rPh>
    <phoneticPr fontId="1"/>
  </si>
  <si>
    <t>小計</t>
    <rPh sb="0" eb="2">
      <t>ショウケイ</t>
    </rPh>
    <phoneticPr fontId="1"/>
  </si>
  <si>
    <t>後期高齢者医療分</t>
    <rPh sb="0" eb="2">
      <t>コウキ</t>
    </rPh>
    <rPh sb="2" eb="5">
      <t>コウレイシャ</t>
    </rPh>
    <rPh sb="5" eb="7">
      <t>イリョウ</t>
    </rPh>
    <rPh sb="7" eb="8">
      <t>ブン</t>
    </rPh>
    <phoneticPr fontId="1"/>
  </si>
  <si>
    <t>介護納付金分</t>
    <rPh sb="0" eb="2">
      <t>カイゴ</t>
    </rPh>
    <rPh sb="2" eb="5">
      <t>ノウフキン</t>
    </rPh>
    <rPh sb="5" eb="6">
      <t>ブン</t>
    </rPh>
    <phoneticPr fontId="1"/>
  </si>
  <si>
    <t>均等割</t>
    <rPh sb="0" eb="3">
      <t>キントウワ</t>
    </rPh>
    <phoneticPr fontId="1"/>
  </si>
  <si>
    <t>所得割</t>
    <rPh sb="0" eb="2">
      <t>ショトク</t>
    </rPh>
    <rPh sb="2" eb="3">
      <t>ワリ</t>
    </rPh>
    <phoneticPr fontId="1"/>
  </si>
  <si>
    <t>未就学児軽減後</t>
    <rPh sb="0" eb="4">
      <t>ミシュウガクジ</t>
    </rPh>
    <rPh sb="4" eb="6">
      <t>ケイゲン</t>
    </rPh>
    <rPh sb="6" eb="7">
      <t>ゴ</t>
    </rPh>
    <phoneticPr fontId="1"/>
  </si>
  <si>
    <t>合計</t>
    <rPh sb="0" eb="2">
      <t>ゴウケイ</t>
    </rPh>
    <phoneticPr fontId="1"/>
  </si>
  <si>
    <t>限度額後</t>
    <rPh sb="0" eb="3">
      <t>ゲンドガク</t>
    </rPh>
    <rPh sb="3" eb="4">
      <t>アト</t>
    </rPh>
    <phoneticPr fontId="1"/>
  </si>
  <si>
    <t>年金の特例控除</t>
    <rPh sb="0" eb="2">
      <t>ネンキン</t>
    </rPh>
    <rPh sb="3" eb="5">
      <t>トクレイ</t>
    </rPh>
    <rPh sb="5" eb="7">
      <t>コウジョ</t>
    </rPh>
    <phoneticPr fontId="1"/>
  </si>
  <si>
    <t>分の</t>
    <rPh sb="0" eb="1">
      <t>ブン</t>
    </rPh>
    <phoneticPr fontId="1"/>
  </si>
  <si>
    <t>軽減判定（均等割、平等割）</t>
    <rPh sb="0" eb="4">
      <t>ケイゲンハンテイ</t>
    </rPh>
    <rPh sb="5" eb="8">
      <t>キントウワ</t>
    </rPh>
    <rPh sb="9" eb="12">
      <t>ビョウドウワリ</t>
    </rPh>
    <phoneticPr fontId="1"/>
  </si>
  <si>
    <t>未就学児軽減</t>
    <rPh sb="0" eb="4">
      <t>ミシュウガクジ</t>
    </rPh>
    <rPh sb="4" eb="6">
      <t>ケイゲン</t>
    </rPh>
    <phoneticPr fontId="1"/>
  </si>
  <si>
    <t>名前（省略可能）</t>
    <rPh sb="0" eb="2">
      <t>ナマエ</t>
    </rPh>
    <rPh sb="3" eb="7">
      <t>ショウリャクカノウ</t>
    </rPh>
    <phoneticPr fontId="1"/>
  </si>
  <si>
    <t>年金</t>
    <rPh sb="0" eb="2">
      <t>ネンキン</t>
    </rPh>
    <phoneticPr fontId="1"/>
  </si>
  <si>
    <t>営業その他</t>
    <rPh sb="0" eb="2">
      <t>エイギョウ</t>
    </rPh>
    <rPh sb="4" eb="5">
      <t>タ</t>
    </rPh>
    <phoneticPr fontId="1"/>
  </si>
  <si>
    <t>端数処理</t>
    <rPh sb="0" eb="4">
      <t>ハスウショリ</t>
    </rPh>
    <phoneticPr fontId="1"/>
  </si>
  <si>
    <t>軽減判定所得</t>
    <rPh sb="0" eb="2">
      <t>ケイゲン</t>
    </rPh>
    <rPh sb="2" eb="4">
      <t>ハンテイ</t>
    </rPh>
    <rPh sb="4" eb="6">
      <t>ショトク</t>
    </rPh>
    <phoneticPr fontId="1"/>
  </si>
  <si>
    <t>軽減判定所得（正）</t>
    <rPh sb="0" eb="2">
      <t>ケイゲン</t>
    </rPh>
    <rPh sb="2" eb="4">
      <t>ハンテイ</t>
    </rPh>
    <rPh sb="4" eb="6">
      <t>ショトク</t>
    </rPh>
    <rPh sb="7" eb="8">
      <t>タダ</t>
    </rPh>
    <phoneticPr fontId="1"/>
  </si>
  <si>
    <t>基準額</t>
    <rPh sb="0" eb="3">
      <t>キジュンガク</t>
    </rPh>
    <phoneticPr fontId="1"/>
  </si>
  <si>
    <t>第１段階</t>
    <rPh sb="0" eb="1">
      <t>ダイ</t>
    </rPh>
    <rPh sb="2" eb="4">
      <t>ダンカイ</t>
    </rPh>
    <phoneticPr fontId="1"/>
  </si>
  <si>
    <t>第２段階</t>
    <rPh sb="0" eb="1">
      <t>ダイ</t>
    </rPh>
    <rPh sb="2" eb="4">
      <t>ダンカイ</t>
    </rPh>
    <phoneticPr fontId="1"/>
  </si>
  <si>
    <t>第３段階</t>
    <rPh sb="0" eb="1">
      <t>ダイ</t>
    </rPh>
    <rPh sb="2" eb="4">
      <t>ダンカイ</t>
    </rPh>
    <phoneticPr fontId="1"/>
  </si>
  <si>
    <t>第４段階</t>
    <rPh sb="0" eb="1">
      <t>ダイ</t>
    </rPh>
    <rPh sb="2" eb="4">
      <t>ダンカイ</t>
    </rPh>
    <phoneticPr fontId="1"/>
  </si>
  <si>
    <t>第５段階</t>
    <rPh sb="0" eb="1">
      <t>ダイ</t>
    </rPh>
    <rPh sb="2" eb="4">
      <t>ダンカイ</t>
    </rPh>
    <phoneticPr fontId="1"/>
  </si>
  <si>
    <t>第６段階</t>
    <rPh sb="0" eb="1">
      <t>ダイ</t>
    </rPh>
    <rPh sb="2" eb="4">
      <t>ダンカイ</t>
    </rPh>
    <phoneticPr fontId="1"/>
  </si>
  <si>
    <t>第７段階</t>
    <rPh sb="0" eb="1">
      <t>ダイ</t>
    </rPh>
    <rPh sb="2" eb="4">
      <t>ダンカイ</t>
    </rPh>
    <phoneticPr fontId="1"/>
  </si>
  <si>
    <t>第８段階</t>
    <rPh sb="0" eb="1">
      <t>ダイ</t>
    </rPh>
    <rPh sb="2" eb="4">
      <t>ダンカイ</t>
    </rPh>
    <phoneticPr fontId="1"/>
  </si>
  <si>
    <t>第９段階</t>
    <rPh sb="0" eb="1">
      <t>ダイ</t>
    </rPh>
    <rPh sb="2" eb="4">
      <t>ダンカイ</t>
    </rPh>
    <phoneticPr fontId="1"/>
  </si>
  <si>
    <t>所得割率</t>
    <rPh sb="0" eb="3">
      <t>ショトクワリ</t>
    </rPh>
    <rPh sb="3" eb="4">
      <t>リツ</t>
    </rPh>
    <phoneticPr fontId="1"/>
  </si>
  <si>
    <t>賦課限度額</t>
    <rPh sb="0" eb="5">
      <t>フカゲンドガク</t>
    </rPh>
    <phoneticPr fontId="1"/>
  </si>
  <si>
    <t>保険料</t>
    <rPh sb="0" eb="3">
      <t>ホケンリョウ</t>
    </rPh>
    <phoneticPr fontId="1"/>
  </si>
  <si>
    <t>・特定世帯</t>
    <rPh sb="1" eb="5">
      <t>トクテイセタイ</t>
    </rPh>
    <phoneticPr fontId="1"/>
  </si>
  <si>
    <t>・旧被扶養者</t>
    <rPh sb="1" eb="6">
      <t>キュウヒフヨウシャ</t>
    </rPh>
    <phoneticPr fontId="1"/>
  </si>
  <si>
    <t>・非自発的失業</t>
    <rPh sb="1" eb="5">
      <t>ヒジハツテキ</t>
    </rPh>
    <rPh sb="5" eb="7">
      <t>シツギョウ</t>
    </rPh>
    <phoneticPr fontId="1"/>
  </si>
  <si>
    <t>・産前産後</t>
    <rPh sb="1" eb="3">
      <t>サンゼン</t>
    </rPh>
    <rPh sb="3" eb="5">
      <t>サンゴ</t>
    </rPh>
    <phoneticPr fontId="1"/>
  </si>
  <si>
    <t>※不搭載の軽減・減免計算</t>
    <rPh sb="1" eb="4">
      <t>フトウサイ</t>
    </rPh>
    <rPh sb="5" eb="7">
      <t>ケイゲン</t>
    </rPh>
    <rPh sb="8" eb="10">
      <t>ゲンメン</t>
    </rPh>
    <rPh sb="10" eb="12">
      <t>ケイサン</t>
    </rPh>
    <phoneticPr fontId="1"/>
  </si>
  <si>
    <t>医療費負担</t>
    <rPh sb="0" eb="3">
      <t>イリョウヒ</t>
    </rPh>
    <rPh sb="3" eb="5">
      <t>フタン</t>
    </rPh>
    <phoneticPr fontId="1"/>
  </si>
  <si>
    <t>区分</t>
    <rPh sb="0" eb="2">
      <t>クブン</t>
    </rPh>
    <phoneticPr fontId="1"/>
  </si>
  <si>
    <t>小学校入学前</t>
    <rPh sb="0" eb="6">
      <t>ショウガッコウニュウガクマエ</t>
    </rPh>
    <phoneticPr fontId="1"/>
  </si>
  <si>
    <t>小学校入学後～69歳</t>
    <rPh sb="0" eb="6">
      <t>ショウガッコウニュウガクゴ</t>
    </rPh>
    <rPh sb="9" eb="10">
      <t>サイ</t>
    </rPh>
    <phoneticPr fontId="1"/>
  </si>
  <si>
    <t>70~74現役並み所得</t>
    <rPh sb="5" eb="7">
      <t>ゲンエキ</t>
    </rPh>
    <rPh sb="7" eb="8">
      <t>ナ</t>
    </rPh>
    <rPh sb="9" eb="11">
      <t>ショトク</t>
    </rPh>
    <phoneticPr fontId="1"/>
  </si>
  <si>
    <t>70~74上記以外</t>
    <rPh sb="5" eb="9">
      <t>ジョウキイガイ</t>
    </rPh>
    <phoneticPr fontId="1"/>
  </si>
  <si>
    <t>自己負担割合</t>
    <rPh sb="0" eb="2">
      <t>ジコ</t>
    </rPh>
    <rPh sb="2" eb="4">
      <t>フタン</t>
    </rPh>
    <rPh sb="4" eb="6">
      <t>ワリアイ</t>
    </rPh>
    <phoneticPr fontId="1"/>
  </si>
  <si>
    <t>円以上</t>
    <rPh sb="0" eb="1">
      <t>エン</t>
    </rPh>
    <rPh sb="1" eb="3">
      <t>イジョウ</t>
    </rPh>
    <phoneticPr fontId="1"/>
  </si>
  <si>
    <t>高額療養費自己負担限度額</t>
    <rPh sb="0" eb="5">
      <t>コウガクリョウヨウヒ</t>
    </rPh>
    <rPh sb="5" eb="12">
      <t>ジコフタンゲンドガク</t>
    </rPh>
    <phoneticPr fontId="1"/>
  </si>
  <si>
    <t>ア</t>
    <phoneticPr fontId="1"/>
  </si>
  <si>
    <t>イ</t>
    <phoneticPr fontId="1"/>
  </si>
  <si>
    <t>ウ</t>
    <phoneticPr fontId="1"/>
  </si>
  <si>
    <t>エ</t>
    <phoneticPr fontId="1"/>
  </si>
  <si>
    <t>超</t>
    <rPh sb="0" eb="1">
      <t>チョウ</t>
    </rPh>
    <phoneticPr fontId="1"/>
  </si>
  <si>
    <t>以下</t>
    <rPh sb="0" eb="2">
      <t>イカ</t>
    </rPh>
    <phoneticPr fontId="1"/>
  </si>
  <si>
    <t>オ</t>
    <phoneticPr fontId="1"/>
  </si>
  <si>
    <t>70歳未満</t>
    <rPh sb="2" eb="5">
      <t>サイミマン</t>
    </rPh>
    <phoneticPr fontId="1"/>
  </si>
  <si>
    <t>自己負担限度額</t>
    <rPh sb="0" eb="7">
      <t>ジコフタンゲンドガク</t>
    </rPh>
    <phoneticPr fontId="1"/>
  </si>
  <si>
    <t>現Ⅲ</t>
    <rPh sb="0" eb="1">
      <t>ゲン</t>
    </rPh>
    <phoneticPr fontId="1"/>
  </si>
  <si>
    <t>現Ⅱ</t>
    <rPh sb="0" eb="1">
      <t>ゲン</t>
    </rPh>
    <phoneticPr fontId="1"/>
  </si>
  <si>
    <t>現Ⅰ</t>
    <rPh sb="0" eb="1">
      <t>ゲン</t>
    </rPh>
    <phoneticPr fontId="1"/>
  </si>
  <si>
    <t>一般</t>
    <rPh sb="0" eb="2">
      <t>イッパン</t>
    </rPh>
    <phoneticPr fontId="1"/>
  </si>
  <si>
    <t>低Ⅱ</t>
    <rPh sb="0" eb="1">
      <t>テイ</t>
    </rPh>
    <phoneticPr fontId="1"/>
  </si>
  <si>
    <t>低Ⅰ</t>
    <rPh sb="0" eb="1">
      <t>テイ</t>
    </rPh>
    <phoneticPr fontId="1"/>
  </si>
  <si>
    <t>以上</t>
    <rPh sb="0" eb="2">
      <t>イジョウ</t>
    </rPh>
    <phoneticPr fontId="1"/>
  </si>
  <si>
    <t>未満</t>
    <rPh sb="0" eb="2">
      <t>ミマン</t>
    </rPh>
    <phoneticPr fontId="1"/>
  </si>
  <si>
    <t>70歳以上75歳未満</t>
    <rPh sb="2" eb="5">
      <t>サイイジョウ</t>
    </rPh>
    <rPh sb="7" eb="10">
      <t>サイミマン</t>
    </rPh>
    <phoneticPr fontId="1"/>
  </si>
  <si>
    <t>自己負担
割合(割)</t>
    <rPh sb="0" eb="2">
      <t>ジコ</t>
    </rPh>
    <rPh sb="2" eb="4">
      <t>フタン</t>
    </rPh>
    <rPh sb="5" eb="7">
      <t>ワリアイ</t>
    </rPh>
    <rPh sb="8" eb="9">
      <t>ワリ</t>
    </rPh>
    <phoneticPr fontId="1"/>
  </si>
  <si>
    <t>所得要件（総所得金額等から基礎控除額を差し引いた額）</t>
    <rPh sb="0" eb="4">
      <t>ショトクヨウケン</t>
    </rPh>
    <rPh sb="5" eb="11">
      <t>ソウショトクキンガクトウ</t>
    </rPh>
    <rPh sb="13" eb="18">
      <t>キソコウジョガク</t>
    </rPh>
    <rPh sb="19" eb="20">
      <t>サ</t>
    </rPh>
    <rPh sb="21" eb="22">
      <t>ヒ</t>
    </rPh>
    <rPh sb="24" eb="25">
      <t>ガク</t>
    </rPh>
    <phoneticPr fontId="1"/>
  </si>
  <si>
    <t>歳未満</t>
    <rPh sb="0" eb="1">
      <t>サイ</t>
    </rPh>
    <rPh sb="1" eb="3">
      <t>ミマン</t>
    </rPh>
    <phoneticPr fontId="1"/>
  </si>
  <si>
    <t>割</t>
    <rPh sb="0" eb="1">
      <t>ワリ</t>
    </rPh>
    <phoneticPr fontId="1"/>
  </si>
  <si>
    <t>円</t>
    <rPh sb="0" eb="1">
      <t>エン</t>
    </rPh>
    <phoneticPr fontId="1"/>
  </si>
  <si>
    <t>自己負担割合</t>
    <rPh sb="0" eb="4">
      <t>ジコフタン</t>
    </rPh>
    <rPh sb="4" eb="6">
      <t>ワリアイ</t>
    </rPh>
    <phoneticPr fontId="1"/>
  </si>
  <si>
    <t>限度額</t>
    <rPh sb="0" eb="3">
      <t>ゲンドガク</t>
    </rPh>
    <phoneticPr fontId="1"/>
  </si>
  <si>
    <t>高額療養費
区分</t>
    <rPh sb="0" eb="5">
      <t>コウガクリョウヨウヒ</t>
    </rPh>
    <rPh sb="6" eb="8">
      <t>クブン</t>
    </rPh>
    <phoneticPr fontId="1"/>
  </si>
  <si>
    <t>高額療養費
限度額</t>
    <rPh sb="0" eb="5">
      <t>コウガクリョウヨウヒ</t>
    </rPh>
    <rPh sb="6" eb="9">
      <t>ゲンドガク</t>
    </rPh>
    <phoneticPr fontId="1"/>
  </si>
  <si>
    <t>252,600+(総医療費-842,000)×1%</t>
    <rPh sb="9" eb="13">
      <t>ソウイリョウヒ</t>
    </rPh>
    <phoneticPr fontId="1"/>
  </si>
  <si>
    <t>167,400+(総医療費-558,000)×1%</t>
    <rPh sb="9" eb="13">
      <t>ソウイリョウヒ</t>
    </rPh>
    <phoneticPr fontId="1"/>
  </si>
  <si>
    <t>80,100+(総医療費-267,000)×1%</t>
    <rPh sb="8" eb="12">
      <t>ソウイリョウヒ</t>
    </rPh>
    <phoneticPr fontId="1"/>
  </si>
  <si>
    <t>70~75歳</t>
    <rPh sb="5" eb="6">
      <t>サイ</t>
    </rPh>
    <phoneticPr fontId="1"/>
  </si>
  <si>
    <t>※75歳未満の後期高齢者医療保険料の計算不可</t>
    <rPh sb="3" eb="6">
      <t>サイミマン</t>
    </rPh>
    <rPh sb="7" eb="12">
      <t>コウキコウレイシャ</t>
    </rPh>
    <rPh sb="12" eb="14">
      <t>イリョウ</t>
    </rPh>
    <rPh sb="14" eb="17">
      <t>ホケンリョウ</t>
    </rPh>
    <rPh sb="18" eb="22">
      <t>ケイサンフカ</t>
    </rPh>
    <phoneticPr fontId="1"/>
  </si>
  <si>
    <r>
      <t>所得情報（</t>
    </r>
    <r>
      <rPr>
        <sz val="11"/>
        <color rgb="FFFF0000"/>
        <rFont val="游ゴシック"/>
        <family val="3"/>
        <charset val="128"/>
        <scheme val="minor"/>
      </rPr>
      <t>収入ではなく所得</t>
    </r>
    <r>
      <rPr>
        <sz val="11"/>
        <color theme="1"/>
        <rFont val="游ゴシック"/>
        <family val="2"/>
        <scheme val="minor"/>
      </rPr>
      <t>）</t>
    </r>
    <rPh sb="0" eb="4">
      <t>ショトクジョウホウ</t>
    </rPh>
    <rPh sb="5" eb="7">
      <t>シュウニュウ</t>
    </rPh>
    <rPh sb="11" eb="13">
      <t>ショトク</t>
    </rPh>
    <phoneticPr fontId="1"/>
  </si>
  <si>
    <r>
      <rPr>
        <sz val="8"/>
        <color theme="1"/>
        <rFont val="游ゴシック"/>
        <family val="3"/>
        <charset val="128"/>
        <scheme val="minor"/>
      </rPr>
      <t>世帯員</t>
    </r>
    <r>
      <rPr>
        <sz val="11"/>
        <color theme="1"/>
        <rFont val="游ゴシック"/>
        <family val="2"/>
        <scheme val="minor"/>
      </rPr>
      <t>1</t>
    </r>
    <rPh sb="0" eb="3">
      <t>セタイイン</t>
    </rPh>
    <phoneticPr fontId="1"/>
  </si>
  <si>
    <t>給与</t>
    <rPh sb="0" eb="2">
      <t>キュウヨ</t>
    </rPh>
    <phoneticPr fontId="1"/>
  </si>
  <si>
    <t>年間保険料</t>
    <rPh sb="0" eb="2">
      <t>ネンカン</t>
    </rPh>
    <rPh sb="2" eb="5">
      <t>ホケンリョウ</t>
    </rPh>
    <phoneticPr fontId="1"/>
  </si>
  <si>
    <t>年間保険税</t>
    <rPh sb="0" eb="2">
      <t>ネンカン</t>
    </rPh>
    <rPh sb="2" eb="5">
      <t>ホケンゼイ</t>
    </rPh>
    <phoneticPr fontId="1"/>
  </si>
  <si>
    <r>
      <t>※月割計算不可</t>
    </r>
    <r>
      <rPr>
        <sz val="11"/>
        <rFont val="游ゴシック"/>
        <family val="3"/>
        <charset val="128"/>
        <scheme val="minor"/>
      </rPr>
      <t>　→　月割で計算したい場合は12で割って加入月数を乗じてください。</t>
    </r>
    <rPh sb="1" eb="5">
      <t>ツキワリケイサン</t>
    </rPh>
    <rPh sb="5" eb="7">
      <t>フカ</t>
    </rPh>
    <rPh sb="10" eb="12">
      <t>ツキワリ</t>
    </rPh>
    <rPh sb="13" eb="15">
      <t>ケイサン</t>
    </rPh>
    <rPh sb="18" eb="20">
      <t>バアイ</t>
    </rPh>
    <rPh sb="24" eb="25">
      <t>ワ</t>
    </rPh>
    <rPh sb="27" eb="31">
      <t>カニュウツキスウ</t>
    </rPh>
    <rPh sb="32" eb="33">
      <t>ジョウ</t>
    </rPh>
    <phoneticPr fontId="1"/>
  </si>
  <si>
    <t>：</t>
    <phoneticPr fontId="1"/>
  </si>
  <si>
    <t>入力項目</t>
    <rPh sb="0" eb="4">
      <t>ニュウリョクコウモク</t>
    </rPh>
    <phoneticPr fontId="1"/>
  </si>
  <si>
    <t>など</t>
    <phoneticPr fontId="1"/>
  </si>
  <si>
    <t>国民健康保険</t>
    <rPh sb="0" eb="6">
      <t>コクミンケンコウホケン</t>
    </rPh>
    <phoneticPr fontId="1"/>
  </si>
  <si>
    <t>試算結果</t>
    <rPh sb="0" eb="2">
      <t>シサン</t>
    </rPh>
    <rPh sb="2" eb="4">
      <t>ケッカ</t>
    </rPh>
    <phoneticPr fontId="1"/>
  </si>
  <si>
    <t>※介護保険料算定非対応</t>
    <rPh sb="1" eb="6">
      <t>カイゴホケンリョウ</t>
    </rPh>
    <rPh sb="6" eb="8">
      <t>サンテイ</t>
    </rPh>
    <rPh sb="8" eb="11">
      <t>ヒタイオウ</t>
    </rPh>
    <phoneticPr fontId="1"/>
  </si>
  <si>
    <t>国保に非加入の世帯主の場合は以下に入力</t>
    <rPh sb="0" eb="2">
      <t>コクホ</t>
    </rPh>
    <rPh sb="3" eb="6">
      <t>ヒカニュウ</t>
    </rPh>
    <rPh sb="7" eb="10">
      <t>セタイヌシ</t>
    </rPh>
    <rPh sb="11" eb="13">
      <t>バアイ</t>
    </rPh>
    <rPh sb="14" eb="16">
      <t>イカ</t>
    </rPh>
    <rPh sb="17" eb="19">
      <t>ニュウリョク</t>
    </rPh>
    <phoneticPr fontId="1"/>
  </si>
  <si>
    <r>
      <t>ご家族の状況（</t>
    </r>
    <r>
      <rPr>
        <sz val="11"/>
        <color rgb="FFFF0000"/>
        <rFont val="游ゴシック"/>
        <family val="3"/>
        <charset val="128"/>
        <scheme val="minor"/>
      </rPr>
      <t>必ず年齢を入力</t>
    </r>
    <r>
      <rPr>
        <sz val="11"/>
        <color theme="1"/>
        <rFont val="游ゴシック"/>
        <family val="2"/>
        <scheme val="minor"/>
      </rPr>
      <t>）</t>
    </r>
    <rPh sb="1" eb="3">
      <t>カゾク</t>
    </rPh>
    <rPh sb="4" eb="6">
      <t>ジョウキョウ</t>
    </rPh>
    <rPh sb="7" eb="8">
      <t>カナラ</t>
    </rPh>
    <rPh sb="9" eb="11">
      <t>ネンレイ</t>
    </rPh>
    <rPh sb="12" eb="14">
      <t>ニュウリョク</t>
    </rPh>
    <phoneticPr fontId="1"/>
  </si>
  <si>
    <r>
      <rPr>
        <sz val="9"/>
        <color theme="1"/>
        <rFont val="游ゴシック"/>
        <family val="3"/>
        <charset val="128"/>
        <scheme val="minor"/>
      </rPr>
      <t xml:space="preserve">擬制
</t>
    </r>
    <r>
      <rPr>
        <sz val="11"/>
        <color theme="1"/>
        <rFont val="游ゴシック"/>
        <family val="2"/>
        <scheme val="minor"/>
      </rPr>
      <t>世帯主</t>
    </r>
    <rPh sb="0" eb="2">
      <t>ギセイ</t>
    </rPh>
    <rPh sb="3" eb="6">
      <t>セタイヌシ</t>
    </rPh>
    <phoneticPr fontId="1"/>
  </si>
  <si>
    <t>～</t>
    <phoneticPr fontId="1"/>
  </si>
  <si>
    <t>給与収入</t>
    <rPh sb="0" eb="2">
      <t>キュウヨ</t>
    </rPh>
    <rPh sb="2" eb="4">
      <t>シュウニュウ</t>
    </rPh>
    <phoneticPr fontId="1"/>
  </si>
  <si>
    <t>判定式</t>
    <rPh sb="0" eb="2">
      <t>ハンテイ</t>
    </rPh>
    <rPh sb="2" eb="3">
      <t>シキ</t>
    </rPh>
    <phoneticPr fontId="1"/>
  </si>
  <si>
    <t>➡</t>
    <phoneticPr fontId="1"/>
  </si>
  <si>
    <t>入力値</t>
    <rPh sb="0" eb="3">
      <t>ニュウリョクチ</t>
    </rPh>
    <phoneticPr fontId="1"/>
  </si>
  <si>
    <t>所得</t>
    <rPh sb="0" eb="2">
      <t>ショトク</t>
    </rPh>
    <phoneticPr fontId="1"/>
  </si>
  <si>
    <r>
      <t>年金収入（６５歳</t>
    </r>
    <r>
      <rPr>
        <b/>
        <sz val="14"/>
        <color rgb="FFFF0000"/>
        <rFont val="游ゴシック"/>
        <family val="3"/>
        <charset val="128"/>
        <scheme val="minor"/>
      </rPr>
      <t>以上</t>
    </r>
    <r>
      <rPr>
        <b/>
        <sz val="14"/>
        <color theme="1"/>
        <rFont val="游ゴシック"/>
        <family val="3"/>
        <charset val="128"/>
        <scheme val="minor"/>
      </rPr>
      <t>）</t>
    </r>
    <rPh sb="0" eb="2">
      <t>ネンキン</t>
    </rPh>
    <rPh sb="2" eb="4">
      <t>シュウニュウ</t>
    </rPh>
    <rPh sb="7" eb="8">
      <t>サイ</t>
    </rPh>
    <rPh sb="8" eb="10">
      <t>イジョウ</t>
    </rPh>
    <phoneticPr fontId="1"/>
  </si>
  <si>
    <t>※公的年金所得以外の所得金額が1,000万円を超える場合は計算できません。</t>
    <rPh sb="1" eb="9">
      <t>コウテキネンキンショトクイガイ</t>
    </rPh>
    <rPh sb="10" eb="14">
      <t>ショトクキンガク</t>
    </rPh>
    <rPh sb="20" eb="22">
      <t>マンエン</t>
    </rPh>
    <rPh sb="23" eb="24">
      <t>コ</t>
    </rPh>
    <rPh sb="26" eb="28">
      <t>バアイ</t>
    </rPh>
    <rPh sb="29" eb="31">
      <t>ケイサン</t>
    </rPh>
    <phoneticPr fontId="1"/>
  </si>
  <si>
    <r>
      <t>年金収入（６５歳</t>
    </r>
    <r>
      <rPr>
        <b/>
        <sz val="14"/>
        <color rgb="FFFF0000"/>
        <rFont val="游ゴシック"/>
        <family val="3"/>
        <charset val="128"/>
        <scheme val="minor"/>
      </rPr>
      <t>未満</t>
    </r>
    <r>
      <rPr>
        <b/>
        <sz val="14"/>
        <color theme="1"/>
        <rFont val="游ゴシック"/>
        <family val="3"/>
        <charset val="128"/>
        <scheme val="minor"/>
      </rPr>
      <t>）</t>
    </r>
    <rPh sb="0" eb="2">
      <t>ネンキン</t>
    </rPh>
    <rPh sb="2" eb="4">
      <t>シュウニュウ</t>
    </rPh>
    <rPh sb="7" eb="8">
      <t>サイ</t>
    </rPh>
    <phoneticPr fontId="1"/>
  </si>
  <si>
    <t>65歳以上</t>
    <rPh sb="2" eb="3">
      <t>サイ</t>
    </rPh>
    <rPh sb="3" eb="5">
      <t>イジョウ</t>
    </rPh>
    <phoneticPr fontId="1"/>
  </si>
  <si>
    <t>年額</t>
    <rPh sb="0" eb="2">
      <t>ネンガク</t>
    </rPh>
    <phoneticPr fontId="1"/>
  </si>
  <si>
    <t>計算結果</t>
    <rPh sb="0" eb="2">
      <t>ケイサン</t>
    </rPh>
    <rPh sb="2" eb="4">
      <t>ケッカ</t>
    </rPh>
    <phoneticPr fontId="1"/>
  </si>
  <si>
    <r>
      <t>年金所得（６５歳</t>
    </r>
    <r>
      <rPr>
        <b/>
        <sz val="14"/>
        <color rgb="FFFF0000"/>
        <rFont val="游ゴシック"/>
        <family val="3"/>
        <charset val="128"/>
        <scheme val="minor"/>
      </rPr>
      <t>以上</t>
    </r>
    <r>
      <rPr>
        <b/>
        <sz val="14"/>
        <color theme="1"/>
        <rFont val="游ゴシック"/>
        <family val="3"/>
        <charset val="128"/>
        <scheme val="minor"/>
      </rPr>
      <t>）</t>
    </r>
    <rPh sb="0" eb="2">
      <t>ネンキン</t>
    </rPh>
    <rPh sb="2" eb="4">
      <t>ショトク</t>
    </rPh>
    <rPh sb="7" eb="8">
      <t>サイ</t>
    </rPh>
    <rPh sb="8" eb="10">
      <t>イジョウ</t>
    </rPh>
    <phoneticPr fontId="1"/>
  </si>
  <si>
    <r>
      <t>年金所得（６５歳</t>
    </r>
    <r>
      <rPr>
        <b/>
        <sz val="14"/>
        <color rgb="FFFF0000"/>
        <rFont val="游ゴシック"/>
        <family val="3"/>
        <charset val="128"/>
        <scheme val="minor"/>
      </rPr>
      <t>未満</t>
    </r>
    <r>
      <rPr>
        <b/>
        <sz val="14"/>
        <color theme="1"/>
        <rFont val="游ゴシック"/>
        <family val="3"/>
        <charset val="128"/>
        <scheme val="minor"/>
      </rPr>
      <t>）</t>
    </r>
    <rPh sb="0" eb="2">
      <t>ネンキン</t>
    </rPh>
    <rPh sb="2" eb="4">
      <t>ショトク</t>
    </rPh>
    <rPh sb="7" eb="8">
      <t>サイ</t>
    </rPh>
    <phoneticPr fontId="1"/>
  </si>
  <si>
    <t>給与所得</t>
    <rPh sb="0" eb="2">
      <t>キュウヨ</t>
    </rPh>
    <rPh sb="2" eb="4">
      <t>ショトク</t>
    </rPh>
    <phoneticPr fontId="1"/>
  </si>
  <si>
    <t>長期譲渡など特別控除する前の所得</t>
    <phoneticPr fontId="1"/>
  </si>
  <si>
    <t>後期高齢者医療</t>
    <rPh sb="0" eb="2">
      <t>コウキ</t>
    </rPh>
    <rPh sb="2" eb="5">
      <t>コウレイシャ</t>
    </rPh>
    <rPh sb="5" eb="7">
      <t>イリョウ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</si>
</sst>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29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0"/>
      <color theme="1"/>
      <name val="游ゴシック"/>
      <family val="2"/>
      <scheme val="minor"/>
    </font>
    <font>
      <sz val="10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11"/>
      <color theme="3"/>
      <name val="游ゴシック"/>
      <family val="2"/>
      <scheme val="minor"/>
    </font>
    <font>
      <b/>
      <sz val="9"/>
      <color indexed="81"/>
      <name val="MS P ゴシック"/>
      <family val="3"/>
      <charset val="128"/>
    </font>
    <font>
      <sz val="10"/>
      <color theme="3"/>
      <name val="游ゴシック"/>
      <family val="2"/>
      <scheme val="minor"/>
    </font>
    <font>
      <sz val="11"/>
      <color theme="1"/>
      <name val="HGP創英角ｺﾞｼｯｸUB"/>
      <family val="3"/>
      <charset val="128"/>
    </font>
    <font>
      <sz val="11"/>
      <name val="游ゴシック"/>
      <family val="2"/>
      <scheme val="minor"/>
    </font>
    <font>
      <sz val="9"/>
      <color indexed="81"/>
      <name val="MS P ゴシック"/>
      <family val="3"/>
      <charset val="128"/>
    </font>
    <font>
      <sz val="6"/>
      <color theme="3"/>
      <name val="游ゴシック"/>
      <family val="2"/>
      <scheme val="minor"/>
    </font>
    <font>
      <sz val="8"/>
      <color theme="1"/>
      <name val="游ゴシック"/>
      <family val="2"/>
      <scheme val="minor"/>
    </font>
    <font>
      <sz val="11"/>
      <color theme="1"/>
      <name val="游ゴシック"/>
      <family val="3"/>
      <charset val="128"/>
      <scheme val="minor"/>
    </font>
    <font>
      <sz val="11"/>
      <color theme="3"/>
      <name val="游ゴシック"/>
      <family val="3"/>
      <charset val="128"/>
      <scheme val="minor"/>
    </font>
    <font>
      <sz val="10"/>
      <color theme="3"/>
      <name val="游ゴシック"/>
      <family val="3"/>
      <charset val="128"/>
      <scheme val="minor"/>
    </font>
    <font>
      <sz val="11"/>
      <color rgb="FFC00000"/>
      <name val="游ゴシック"/>
      <family val="2"/>
      <scheme val="minor"/>
    </font>
    <font>
      <sz val="18"/>
      <color theme="1"/>
      <name val="BIZ UDPゴシック"/>
      <family val="3"/>
      <charset val="128"/>
    </font>
    <font>
      <sz val="11"/>
      <color rgb="FFFF0000"/>
      <name val="游ゴシック"/>
      <family val="2"/>
      <scheme val="minor"/>
    </font>
    <font>
      <sz val="11"/>
      <color rgb="FFFF0000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8"/>
      <color theme="1"/>
      <name val="游ゴシック"/>
      <family val="2"/>
      <scheme val="minor"/>
    </font>
    <font>
      <sz val="22"/>
      <color theme="1"/>
      <name val="游ゴシック"/>
      <family val="2"/>
      <scheme val="minor"/>
    </font>
    <font>
      <sz val="22"/>
      <color theme="1"/>
      <name val="游ゴシック"/>
      <family val="3"/>
      <charset val="128"/>
      <scheme val="minor"/>
    </font>
    <font>
      <b/>
      <sz val="14"/>
      <color rgb="FFFF0000"/>
      <name val="游ゴシック"/>
      <family val="3"/>
      <charset val="128"/>
      <scheme val="minor"/>
    </font>
    <font>
      <sz val="11"/>
      <color theme="5"/>
      <name val="游ゴシック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indexed="64"/>
      </left>
      <right style="hair">
        <color auto="1"/>
      </right>
      <top style="hair">
        <color auto="1"/>
      </top>
      <bottom/>
      <diagonal/>
    </border>
    <border>
      <left/>
      <right/>
      <top style="dashDotDot">
        <color auto="1"/>
      </top>
      <bottom style="dashDotDot">
        <color auto="1"/>
      </bottom>
      <diagonal/>
    </border>
    <border>
      <left/>
      <right/>
      <top style="dashDotDot">
        <color auto="1"/>
      </top>
      <bottom/>
      <diagonal/>
    </border>
    <border>
      <left/>
      <right/>
      <top/>
      <bottom style="dashDotDot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ashDotDot">
        <color auto="1"/>
      </bottom>
      <diagonal/>
    </border>
  </borders>
  <cellStyleXfs count="2">
    <xf numFmtId="0" fontId="0" fillId="0" borderId="0"/>
    <xf numFmtId="38" fontId="4" fillId="0" borderId="0" applyFont="0" applyFill="0" applyBorder="0" applyAlignment="0" applyProtection="0">
      <alignment vertical="center"/>
    </xf>
  </cellStyleXfs>
  <cellXfs count="206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0" fillId="3" borderId="0" xfId="0" applyFill="1" applyAlignment="1">
      <alignment horizontal="center" vertical="center"/>
    </xf>
    <xf numFmtId="3" fontId="0" fillId="3" borderId="0" xfId="0" applyNumberFormat="1" applyFill="1" applyAlignment="1">
      <alignment horizontal="center" vertical="center"/>
    </xf>
    <xf numFmtId="38" fontId="0" fillId="3" borderId="0" xfId="1" applyFont="1" applyFill="1" applyAlignment="1">
      <alignment horizontal="center" vertical="center"/>
    </xf>
    <xf numFmtId="0" fontId="0" fillId="0" borderId="0" xfId="0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57" fontId="0" fillId="0" borderId="0" xfId="0" applyNumberFormat="1" applyAlignment="1">
      <alignment vertical="center"/>
    </xf>
    <xf numFmtId="38" fontId="0" fillId="0" borderId="0" xfId="1" applyFont="1" applyAlignment="1">
      <alignment vertical="center"/>
    </xf>
    <xf numFmtId="38" fontId="5" fillId="0" borderId="0" xfId="1" applyFont="1" applyAlignment="1">
      <alignment vertical="center"/>
    </xf>
    <xf numFmtId="38" fontId="5" fillId="0" borderId="0" xfId="1" applyFont="1" applyFill="1" applyAlignment="1">
      <alignment vertical="center"/>
    </xf>
    <xf numFmtId="3" fontId="5" fillId="0" borderId="0" xfId="0" applyNumberFormat="1" applyFont="1" applyAlignment="1">
      <alignment vertical="center"/>
    </xf>
    <xf numFmtId="176" fontId="5" fillId="0" borderId="0" xfId="0" applyNumberFormat="1" applyFont="1" applyAlignment="1">
      <alignment vertical="center"/>
    </xf>
    <xf numFmtId="38" fontId="7" fillId="0" borderId="0" xfId="1" applyFont="1" applyAlignment="1">
      <alignment vertical="center"/>
    </xf>
    <xf numFmtId="0" fontId="0" fillId="0" borderId="0" xfId="0" applyAlignment="1">
      <alignment horizontal="right" vertical="center"/>
    </xf>
    <xf numFmtId="38" fontId="5" fillId="0" borderId="0" xfId="0" applyNumberFormat="1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38" fontId="5" fillId="0" borderId="0" xfId="1" applyFont="1" applyAlignment="1">
      <alignment horizontal="right" vertical="center"/>
    </xf>
    <xf numFmtId="38" fontId="0" fillId="0" borderId="0" xfId="1" applyFont="1" applyAlignment="1">
      <alignment horizontal="center" vertical="center" wrapText="1" shrinkToFit="1"/>
    </xf>
    <xf numFmtId="38" fontId="11" fillId="0" borderId="0" xfId="1" applyFont="1" applyFill="1" applyAlignment="1">
      <alignment vertical="center"/>
    </xf>
    <xf numFmtId="0" fontId="0" fillId="0" borderId="0" xfId="0" applyAlignment="1">
      <alignment horizontal="center" vertical="center" shrinkToFit="1"/>
    </xf>
    <xf numFmtId="3" fontId="5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right" vertical="center"/>
    </xf>
    <xf numFmtId="0" fontId="0" fillId="3" borderId="0" xfId="0" applyFill="1" applyAlignment="1">
      <alignment horizontal="right" vertical="center"/>
    </xf>
    <xf numFmtId="38" fontId="2" fillId="0" borderId="0" xfId="1" applyFont="1" applyAlignment="1">
      <alignment horizontal="center" vertical="center" wrapText="1" shrinkToFit="1"/>
    </xf>
    <xf numFmtId="0" fontId="0" fillId="0" borderId="0" xfId="0" applyFont="1" applyAlignment="1">
      <alignment horizontal="center" vertical="center" wrapText="1"/>
    </xf>
    <xf numFmtId="38" fontId="14" fillId="0" borderId="0" xfId="1" applyFont="1" applyAlignment="1">
      <alignment vertical="center"/>
    </xf>
    <xf numFmtId="38" fontId="5" fillId="0" borderId="0" xfId="0" applyNumberFormat="1" applyFont="1" applyBorder="1" applyAlignment="1">
      <alignment vertical="center"/>
    </xf>
    <xf numFmtId="38" fontId="7" fillId="0" borderId="0" xfId="0" applyNumberFormat="1" applyFont="1" applyBorder="1" applyAlignment="1">
      <alignment vertical="center"/>
    </xf>
    <xf numFmtId="38" fontId="5" fillId="0" borderId="0" xfId="0" applyNumberFormat="1" applyFont="1" applyBorder="1" applyAlignment="1">
      <alignment horizontal="right" vertical="center"/>
    </xf>
    <xf numFmtId="38" fontId="13" fillId="0" borderId="0" xfId="1" applyFont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6" fontId="14" fillId="0" borderId="0" xfId="0" applyNumberFormat="1" applyFont="1" applyAlignment="1">
      <alignment vertical="center"/>
    </xf>
    <xf numFmtId="38" fontId="15" fillId="0" borderId="0" xfId="1" applyFont="1" applyAlignment="1">
      <alignment vertical="center"/>
    </xf>
    <xf numFmtId="38" fontId="7" fillId="0" borderId="0" xfId="1" applyFont="1" applyAlignment="1">
      <alignment horizontal="right" vertical="center"/>
    </xf>
    <xf numFmtId="38" fontId="16" fillId="0" borderId="0" xfId="1" applyFont="1" applyAlignment="1">
      <alignment vertical="center"/>
    </xf>
    <xf numFmtId="38" fontId="16" fillId="0" borderId="0" xfId="0" applyNumberFormat="1" applyFont="1" applyAlignment="1">
      <alignment vertical="center"/>
    </xf>
    <xf numFmtId="0" fontId="0" fillId="0" borderId="0" xfId="0" applyAlignment="1">
      <alignment horizontal="center" vertical="center"/>
    </xf>
    <xf numFmtId="38" fontId="5" fillId="0" borderId="0" xfId="1" applyFont="1" applyAlignment="1">
      <alignment horizontal="center" vertical="center"/>
    </xf>
    <xf numFmtId="38" fontId="5" fillId="0" borderId="0" xfId="1" applyFont="1" applyAlignment="1">
      <alignment horizontal="right" vertical="center"/>
    </xf>
    <xf numFmtId="38" fontId="9" fillId="0" borderId="0" xfId="0" applyNumberFormat="1" applyFont="1" applyAlignment="1">
      <alignment horizontal="right" vertical="center"/>
    </xf>
    <xf numFmtId="38" fontId="5" fillId="0" borderId="0" xfId="1" applyFont="1" applyAlignment="1">
      <alignment horizontal="center" vertical="center"/>
    </xf>
    <xf numFmtId="38" fontId="5" fillId="0" borderId="0" xfId="1" applyFont="1" applyAlignment="1">
      <alignment horizontal="right" vertical="center"/>
    </xf>
    <xf numFmtId="38" fontId="7" fillId="0" borderId="0" xfId="1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0" fillId="0" borderId="0" xfId="0" applyAlignment="1">
      <alignment vertical="center" textRotation="255" shrinkToFit="1"/>
    </xf>
    <xf numFmtId="0" fontId="0" fillId="0" borderId="2" xfId="0" applyBorder="1" applyAlignment="1">
      <alignment horizontal="center" vertical="center" shrinkToFit="1"/>
    </xf>
    <xf numFmtId="38" fontId="0" fillId="3" borderId="2" xfId="1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0" fillId="3" borderId="0" xfId="0" applyFill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 shrinkToFit="1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right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right" vertical="center"/>
    </xf>
    <xf numFmtId="0" fontId="0" fillId="0" borderId="6" xfId="0" applyBorder="1" applyAlignment="1">
      <alignment horizontal="center" vertical="center"/>
    </xf>
    <xf numFmtId="0" fontId="0" fillId="2" borderId="3" xfId="0" applyFill="1" applyBorder="1" applyAlignment="1">
      <alignment vertical="center"/>
    </xf>
    <xf numFmtId="0" fontId="0" fillId="2" borderId="4" xfId="0" applyFill="1" applyBorder="1" applyAlignment="1">
      <alignment vertical="center"/>
    </xf>
    <xf numFmtId="38" fontId="0" fillId="3" borderId="3" xfId="1" applyFont="1" applyFill="1" applyBorder="1" applyAlignment="1">
      <alignment horizontal="center" vertical="center"/>
    </xf>
    <xf numFmtId="38" fontId="0" fillId="3" borderId="4" xfId="1" applyFont="1" applyFill="1" applyBorder="1" applyAlignment="1">
      <alignment horizontal="center" vertical="center"/>
    </xf>
    <xf numFmtId="38" fontId="0" fillId="0" borderId="0" xfId="1" applyFont="1" applyFill="1" applyBorder="1" applyAlignment="1">
      <alignment horizontal="center" vertical="center"/>
    </xf>
    <xf numFmtId="38" fontId="16" fillId="0" borderId="0" xfId="0" applyNumberFormat="1" applyFont="1" applyBorder="1" applyAlignment="1">
      <alignment vertical="center"/>
    </xf>
    <xf numFmtId="38" fontId="16" fillId="0" borderId="1" xfId="1" applyFont="1" applyBorder="1" applyAlignment="1">
      <alignment vertical="center"/>
    </xf>
    <xf numFmtId="38" fontId="5" fillId="0" borderId="0" xfId="1" applyFont="1" applyFill="1" applyAlignment="1">
      <alignment vertical="center" shrinkToFit="1"/>
    </xf>
    <xf numFmtId="0" fontId="0" fillId="0" borderId="5" xfId="0" applyBorder="1" applyAlignment="1">
      <alignment horizontal="center" vertical="center"/>
    </xf>
    <xf numFmtId="38" fontId="0" fillId="3" borderId="5" xfId="1" applyFont="1" applyFill="1" applyBorder="1" applyAlignment="1">
      <alignment horizontal="center" vertical="center"/>
    </xf>
    <xf numFmtId="38" fontId="0" fillId="3" borderId="9" xfId="1" applyFont="1" applyFill="1" applyBorder="1" applyAlignment="1">
      <alignment horizontal="center" vertical="center"/>
    </xf>
    <xf numFmtId="38" fontId="0" fillId="3" borderId="8" xfId="1" applyFont="1" applyFill="1" applyBorder="1" applyAlignment="1">
      <alignment horizontal="center" vertical="center"/>
    </xf>
    <xf numFmtId="38" fontId="0" fillId="3" borderId="10" xfId="1" applyFont="1" applyFill="1" applyBorder="1" applyAlignment="1">
      <alignment horizontal="center" vertical="center"/>
    </xf>
    <xf numFmtId="0" fontId="0" fillId="3" borderId="0" xfId="0" applyFill="1" applyAlignment="1">
      <alignment horizontal="center"/>
    </xf>
    <xf numFmtId="38" fontId="5" fillId="0" borderId="0" xfId="1" applyFont="1" applyAlignment="1"/>
    <xf numFmtId="38" fontId="0" fillId="3" borderId="0" xfId="1" applyFont="1" applyFill="1" applyAlignment="1">
      <alignment horizontal="right"/>
    </xf>
    <xf numFmtId="3" fontId="0" fillId="3" borderId="0" xfId="0" applyNumberFormat="1" applyFill="1"/>
    <xf numFmtId="0" fontId="0" fillId="3" borderId="0" xfId="0" applyFill="1"/>
    <xf numFmtId="0" fontId="8" fillId="0" borderId="0" xfId="0" applyFont="1"/>
    <xf numFmtId="0" fontId="8" fillId="0" borderId="0" xfId="0" applyFont="1" applyBorder="1" applyAlignment="1">
      <alignment horizontal="right" vertical="center"/>
    </xf>
    <xf numFmtId="0" fontId="0" fillId="0" borderId="0" xfId="0" applyBorder="1"/>
    <xf numFmtId="0" fontId="0" fillId="0" borderId="0" xfId="0" applyFill="1" applyBorder="1" applyAlignment="1">
      <alignment vertical="center" textRotation="255" shrinkToFit="1"/>
    </xf>
    <xf numFmtId="0" fontId="0" fillId="0" borderId="0" xfId="0" applyFill="1" applyBorder="1" applyAlignment="1">
      <alignment horizontal="center" vertical="center" shrinkToFit="1"/>
    </xf>
    <xf numFmtId="38" fontId="5" fillId="0" borderId="0" xfId="0" applyNumberFormat="1" applyFont="1" applyFill="1" applyBorder="1" applyAlignment="1">
      <alignment horizontal="center" vertical="center"/>
    </xf>
    <xf numFmtId="3" fontId="0" fillId="0" borderId="0" xfId="0" applyNumberFormat="1" applyFill="1" applyBorder="1" applyAlignment="1">
      <alignment horizontal="center" vertical="center"/>
    </xf>
    <xf numFmtId="3" fontId="5" fillId="0" borderId="0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right" vertical="center"/>
    </xf>
    <xf numFmtId="38" fontId="5" fillId="0" borderId="0" xfId="0" applyNumberFormat="1" applyFont="1" applyFill="1" applyBorder="1" applyAlignment="1">
      <alignment horizontal="right" vertical="center"/>
    </xf>
    <xf numFmtId="38" fontId="16" fillId="0" borderId="0" xfId="0" applyNumberFormat="1" applyFont="1" applyFill="1" applyBorder="1" applyAlignment="1">
      <alignment vertical="center"/>
    </xf>
    <xf numFmtId="38" fontId="16" fillId="0" borderId="0" xfId="1" applyFont="1" applyBorder="1" applyAlignment="1">
      <alignment vertical="center"/>
    </xf>
    <xf numFmtId="38" fontId="0" fillId="0" borderId="0" xfId="1" applyFont="1" applyFill="1" applyBorder="1" applyAlignment="1">
      <alignment vertical="center"/>
    </xf>
    <xf numFmtId="0" fontId="0" fillId="0" borderId="0" xfId="0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176" fontId="5" fillId="0" borderId="0" xfId="0" applyNumberFormat="1" applyFont="1" applyFill="1" applyBorder="1" applyAlignment="1">
      <alignment vertical="center"/>
    </xf>
    <xf numFmtId="38" fontId="5" fillId="0" borderId="0" xfId="1" applyFont="1" applyFill="1" applyBorder="1" applyAlignment="1">
      <alignment vertical="center"/>
    </xf>
    <xf numFmtId="38" fontId="7" fillId="0" borderId="0" xfId="1" applyFont="1" applyFill="1" applyBorder="1" applyAlignment="1">
      <alignment vertical="center"/>
    </xf>
    <xf numFmtId="38" fontId="14" fillId="0" borderId="0" xfId="1" applyFont="1" applyFill="1" applyBorder="1" applyAlignment="1">
      <alignment vertical="center"/>
    </xf>
    <xf numFmtId="38" fontId="16" fillId="0" borderId="0" xfId="1" applyFont="1" applyFill="1" applyBorder="1" applyAlignment="1">
      <alignment vertical="center"/>
    </xf>
    <xf numFmtId="38" fontId="5" fillId="0" borderId="0" xfId="1" applyFont="1" applyFill="1" applyBorder="1" applyAlignment="1">
      <alignment horizontal="right" vertical="center"/>
    </xf>
    <xf numFmtId="38" fontId="7" fillId="0" borderId="0" xfId="1" applyFont="1" applyFill="1" applyBorder="1" applyAlignment="1">
      <alignment horizontal="right" vertical="center"/>
    </xf>
    <xf numFmtId="0" fontId="0" fillId="0" borderId="0" xfId="0" applyFill="1" applyBorder="1" applyAlignment="1">
      <alignment horizontal="right" vertical="center"/>
    </xf>
    <xf numFmtId="38" fontId="13" fillId="0" borderId="0" xfId="1" applyFont="1" applyFill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176" fontId="14" fillId="0" borderId="0" xfId="0" applyNumberFormat="1" applyFont="1" applyFill="1" applyBorder="1" applyAlignment="1">
      <alignment vertical="center"/>
    </xf>
    <xf numFmtId="38" fontId="15" fillId="0" borderId="0" xfId="1" applyFont="1" applyFill="1" applyBorder="1" applyAlignment="1">
      <alignment vertical="center"/>
    </xf>
    <xf numFmtId="38" fontId="9" fillId="0" borderId="0" xfId="0" applyNumberFormat="1" applyFont="1" applyFill="1" applyBorder="1" applyAlignment="1">
      <alignment horizontal="right" vertical="center"/>
    </xf>
    <xf numFmtId="0" fontId="13" fillId="0" borderId="0" xfId="0" applyFont="1" applyFill="1" applyBorder="1" applyAlignment="1">
      <alignment vertical="center" wrapText="1"/>
    </xf>
    <xf numFmtId="0" fontId="0" fillId="0" borderId="11" xfId="0" applyBorder="1" applyAlignment="1">
      <alignment vertical="center"/>
    </xf>
    <xf numFmtId="38" fontId="0" fillId="4" borderId="11" xfId="0" applyNumberForma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38" fontId="0" fillId="0" borderId="0" xfId="0" applyNumberFormat="1" applyFill="1" applyBorder="1" applyAlignment="1">
      <alignment vertical="center"/>
    </xf>
    <xf numFmtId="0" fontId="18" fillId="0" borderId="0" xfId="0" applyFont="1" applyAlignment="1">
      <alignment vertical="center"/>
    </xf>
    <xf numFmtId="38" fontId="0" fillId="0" borderId="0" xfId="1" applyFont="1" applyAlignment="1"/>
    <xf numFmtId="38" fontId="0" fillId="3" borderId="0" xfId="1" applyFont="1" applyFill="1" applyAlignment="1"/>
    <xf numFmtId="0" fontId="5" fillId="0" borderId="0" xfId="0" applyFont="1"/>
    <xf numFmtId="38" fontId="5" fillId="0" borderId="0" xfId="0" applyNumberFormat="1" applyFont="1"/>
    <xf numFmtId="38" fontId="0" fillId="0" borderId="0" xfId="1" applyFont="1" applyFill="1" applyAlignment="1"/>
    <xf numFmtId="0" fontId="0" fillId="0" borderId="0" xfId="0" applyAlignment="1">
      <alignment horizontal="left"/>
    </xf>
    <xf numFmtId="0" fontId="5" fillId="0" borderId="6" xfId="0" applyNumberFormat="1" applyFont="1" applyBorder="1" applyAlignment="1">
      <alignment horizontal="center" vertical="center"/>
    </xf>
    <xf numFmtId="3" fontId="0" fillId="3" borderId="6" xfId="0" applyNumberFormat="1" applyFill="1" applyBorder="1" applyAlignment="1">
      <alignment horizontal="center" vertical="center"/>
    </xf>
    <xf numFmtId="0" fontId="0" fillId="0" borderId="6" xfId="0" applyBorder="1" applyAlignment="1">
      <alignment horizontal="left" vertical="center"/>
    </xf>
    <xf numFmtId="0" fontId="0" fillId="3" borderId="6" xfId="0" applyFill="1" applyBorder="1" applyAlignment="1">
      <alignment horizontal="right" vertical="center"/>
    </xf>
    <xf numFmtId="0" fontId="0" fillId="3" borderId="6" xfId="0" applyFill="1" applyBorder="1" applyAlignment="1">
      <alignment horizontal="left" vertical="center"/>
    </xf>
    <xf numFmtId="0" fontId="5" fillId="0" borderId="6" xfId="0" applyFont="1" applyBorder="1" applyAlignment="1">
      <alignment horizontal="right" vertical="center"/>
    </xf>
    <xf numFmtId="0" fontId="17" fillId="0" borderId="11" xfId="0" applyFont="1" applyFill="1" applyBorder="1" applyAlignment="1">
      <alignment vertical="center"/>
    </xf>
    <xf numFmtId="38" fontId="0" fillId="0" borderId="12" xfId="0" applyNumberFormat="1" applyFill="1" applyBorder="1" applyAlignment="1">
      <alignment vertical="center"/>
    </xf>
    <xf numFmtId="38" fontId="0" fillId="0" borderId="13" xfId="0" applyNumberFormat="1" applyFill="1" applyBorder="1" applyAlignment="1">
      <alignment vertical="center"/>
    </xf>
    <xf numFmtId="38" fontId="13" fillId="4" borderId="11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 shrinkToFit="1"/>
    </xf>
    <xf numFmtId="38" fontId="5" fillId="0" borderId="0" xfId="1" applyFont="1" applyAlignment="1">
      <alignment vertical="center" shrinkToFit="1"/>
    </xf>
    <xf numFmtId="38" fontId="0" fillId="0" borderId="0" xfId="1" applyFont="1" applyAlignment="1">
      <alignment horizontal="center" wrapText="1" shrinkToFit="1"/>
    </xf>
    <xf numFmtId="38" fontId="0" fillId="0" borderId="0" xfId="1" applyFont="1" applyAlignment="1">
      <alignment vertical="center" shrinkToFit="1"/>
    </xf>
    <xf numFmtId="38" fontId="5" fillId="0" borderId="0" xfId="1" applyFont="1" applyAlignment="1">
      <alignment horizontal="center" vertical="center" shrinkToFit="1"/>
    </xf>
    <xf numFmtId="38" fontId="5" fillId="0" borderId="0" xfId="0" applyNumberFormat="1" applyFont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38" fontId="0" fillId="0" borderId="11" xfId="0" applyNumberFormat="1" applyFill="1" applyBorder="1" applyAlignment="1">
      <alignment vertical="center"/>
    </xf>
    <xf numFmtId="0" fontId="17" fillId="0" borderId="12" xfId="0" applyFont="1" applyFill="1" applyBorder="1" applyAlignment="1">
      <alignment vertical="center"/>
    </xf>
    <xf numFmtId="0" fontId="17" fillId="0" borderId="0" xfId="0" applyFont="1" applyFill="1" applyBorder="1" applyAlignment="1">
      <alignment vertical="center"/>
    </xf>
    <xf numFmtId="0" fontId="13" fillId="0" borderId="3" xfId="0" applyFont="1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0" fillId="0" borderId="0" xfId="0" applyAlignment="1">
      <alignment vertical="center" shrinkToFit="1"/>
    </xf>
    <xf numFmtId="0" fontId="0" fillId="3" borderId="0" xfId="0" applyFill="1" applyAlignment="1">
      <alignment vertical="center"/>
    </xf>
    <xf numFmtId="0" fontId="0" fillId="4" borderId="0" xfId="0" applyFill="1" applyAlignment="1">
      <alignment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vertical="center" shrinkToFit="1"/>
    </xf>
    <xf numFmtId="38" fontId="0" fillId="4" borderId="11" xfId="0" applyNumberFormat="1" applyFill="1" applyBorder="1" applyAlignment="1">
      <alignment horizontal="center" vertical="center" shrinkToFit="1"/>
    </xf>
    <xf numFmtId="0" fontId="0" fillId="3" borderId="3" xfId="0" applyFill="1" applyBorder="1" applyAlignment="1">
      <alignment vertical="center"/>
    </xf>
    <xf numFmtId="0" fontId="13" fillId="0" borderId="3" xfId="0" applyFont="1" applyBorder="1" applyAlignment="1">
      <alignment horizontal="center" vertical="center" wrapText="1" shrinkToFit="1"/>
    </xf>
    <xf numFmtId="0" fontId="2" fillId="0" borderId="0" xfId="0" applyFont="1" applyAlignment="1">
      <alignment horizontal="right"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Alignment="1">
      <alignment horizontal="right" vertical="center"/>
    </xf>
    <xf numFmtId="38" fontId="0" fillId="0" borderId="0" xfId="1" applyFont="1" applyAlignment="1">
      <alignment horizontal="center"/>
    </xf>
    <xf numFmtId="38" fontId="0" fillId="2" borderId="0" xfId="1" applyFont="1" applyFill="1" applyAlignment="1"/>
    <xf numFmtId="38" fontId="0" fillId="5" borderId="0" xfId="1" applyFont="1" applyFill="1" applyAlignment="1"/>
    <xf numFmtId="0" fontId="23" fillId="0" borderId="0" xfId="0" applyFont="1"/>
    <xf numFmtId="38" fontId="0" fillId="0" borderId="14" xfId="1" applyFont="1" applyBorder="1" applyAlignment="1"/>
    <xf numFmtId="38" fontId="0" fillId="0" borderId="15" xfId="1" applyFont="1" applyBorder="1" applyAlignment="1"/>
    <xf numFmtId="38" fontId="0" fillId="0" borderId="16" xfId="1" applyFont="1" applyBorder="1" applyAlignment="1"/>
    <xf numFmtId="38" fontId="0" fillId="0" borderId="17" xfId="1" applyFont="1" applyBorder="1" applyAlignment="1"/>
    <xf numFmtId="38" fontId="0" fillId="0" borderId="0" xfId="1" applyFont="1" applyAlignment="1">
      <alignment horizontal="right"/>
    </xf>
    <xf numFmtId="0" fontId="18" fillId="0" borderId="0" xfId="0" applyFont="1"/>
    <xf numFmtId="0" fontId="0" fillId="0" borderId="13" xfId="0" applyBorder="1"/>
    <xf numFmtId="38" fontId="5" fillId="0" borderId="0" xfId="1" applyFont="1" applyFill="1" applyAlignment="1"/>
    <xf numFmtId="38" fontId="0" fillId="0" borderId="13" xfId="1" applyFont="1" applyBorder="1" applyAlignment="1"/>
    <xf numFmtId="38" fontId="0" fillId="0" borderId="13" xfId="1" applyFont="1" applyBorder="1" applyAlignment="1">
      <alignment horizontal="center"/>
    </xf>
    <xf numFmtId="38" fontId="0" fillId="0" borderId="18" xfId="1" applyFont="1" applyBorder="1" applyAlignment="1"/>
    <xf numFmtId="38" fontId="0" fillId="0" borderId="19" xfId="1" applyFont="1" applyBorder="1" applyAlignment="1"/>
    <xf numFmtId="0" fontId="0" fillId="0" borderId="13" xfId="0" applyBorder="1" applyAlignment="1">
      <alignment horizontal="left"/>
    </xf>
    <xf numFmtId="0" fontId="3" fillId="0" borderId="8" xfId="0" applyFont="1" applyBorder="1" applyAlignment="1">
      <alignment vertical="center" wrapText="1"/>
    </xf>
    <xf numFmtId="0" fontId="28" fillId="0" borderId="0" xfId="0" applyFont="1" applyAlignment="1">
      <alignment horizontal="right" vertical="top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38" fontId="17" fillId="4" borderId="12" xfId="0" applyNumberFormat="1" applyFont="1" applyFill="1" applyBorder="1" applyAlignment="1">
      <alignment horizontal="center" vertical="center" shrinkToFit="1"/>
    </xf>
    <xf numFmtId="38" fontId="17" fillId="4" borderId="0" xfId="0" applyNumberFormat="1" applyFont="1" applyFill="1" applyBorder="1" applyAlignment="1">
      <alignment horizontal="center" vertical="center" shrinkToFit="1"/>
    </xf>
    <xf numFmtId="38" fontId="17" fillId="4" borderId="13" xfId="0" applyNumberFormat="1" applyFont="1" applyFill="1" applyBorder="1" applyAlignment="1">
      <alignment horizontal="center" vertical="center" shrinkToFit="1"/>
    </xf>
    <xf numFmtId="38" fontId="24" fillId="3" borderId="0" xfId="1" applyFont="1" applyFill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38" fontId="24" fillId="4" borderId="0" xfId="1" applyFont="1" applyFill="1" applyAlignment="1">
      <alignment horizontal="center" vertical="center"/>
    </xf>
    <xf numFmtId="38" fontId="7" fillId="0" borderId="0" xfId="1" applyFont="1" applyAlignment="1">
      <alignment horizontal="right" vertical="center"/>
    </xf>
    <xf numFmtId="38" fontId="5" fillId="0" borderId="0" xfId="1" applyFont="1" applyAlignment="1">
      <alignment horizontal="center" vertical="center"/>
    </xf>
    <xf numFmtId="0" fontId="0" fillId="0" borderId="0" xfId="0" applyAlignment="1">
      <alignment horizontal="center" vertical="center" textRotation="255" shrinkToFit="1"/>
    </xf>
    <xf numFmtId="38" fontId="14" fillId="0" borderId="0" xfId="1" applyFont="1" applyAlignment="1">
      <alignment horizontal="right" vertical="center"/>
    </xf>
    <xf numFmtId="38" fontId="15" fillId="0" borderId="0" xfId="1" applyFont="1" applyAlignment="1">
      <alignment horizontal="right" vertical="center"/>
    </xf>
    <xf numFmtId="38" fontId="14" fillId="0" borderId="0" xfId="1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38" fontId="5" fillId="0" borderId="0" xfId="1" applyFont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762000</xdr:colOff>
      <xdr:row>12</xdr:row>
      <xdr:rowOff>28575</xdr:rowOff>
    </xdr:from>
    <xdr:to>
      <xdr:col>10</xdr:col>
      <xdr:colOff>95250</xdr:colOff>
      <xdr:row>16</xdr:row>
      <xdr:rowOff>200025</xdr:rowOff>
    </xdr:to>
    <xdr:sp macro="" textlink="">
      <xdr:nvSpPr>
        <xdr:cNvPr id="2" name="角丸四角形 1"/>
        <xdr:cNvSpPr/>
      </xdr:nvSpPr>
      <xdr:spPr>
        <a:xfrm>
          <a:off x="5724525" y="2886075"/>
          <a:ext cx="2609850" cy="1123950"/>
        </a:xfrm>
        <a:prstGeom prst="roundRect">
          <a:avLst/>
        </a:prstGeom>
        <a:noFill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66675</xdr:colOff>
      <xdr:row>0</xdr:row>
      <xdr:rowOff>123825</xdr:rowOff>
    </xdr:from>
    <xdr:to>
      <xdr:col>19</xdr:col>
      <xdr:colOff>171450</xdr:colOff>
      <xdr:row>12</xdr:row>
      <xdr:rowOff>200025</xdr:rowOff>
    </xdr:to>
    <xdr:sp macro="" textlink="">
      <xdr:nvSpPr>
        <xdr:cNvPr id="6148" name="Text Box 4"/>
        <xdr:cNvSpPr txBox="1">
          <a:spLocks noChangeArrowheads="1"/>
        </xdr:cNvSpPr>
      </xdr:nvSpPr>
      <xdr:spPr bwMode="auto">
        <a:xfrm>
          <a:off x="8991600" y="123825"/>
          <a:ext cx="2847975" cy="3819525"/>
        </a:xfrm>
        <a:prstGeom prst="rect">
          <a:avLst/>
        </a:prstGeom>
        <a:ln>
          <a:headEnd/>
          <a:tailEnd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wrap="square" lIns="27432" tIns="41148" rIns="0" bIns="0" anchor="ctr" upright="1"/>
        <a:lstStyle/>
        <a:p>
          <a:pPr algn="ctr" rtl="0">
            <a:defRPr sz="1000"/>
          </a:pPr>
          <a:r>
            <a:rPr lang="en-US" altLang="ja-JP" sz="1100" b="0" i="0" u="none" strike="noStrike" baseline="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 </a:t>
          </a:r>
          <a:r>
            <a:rPr lang="ja-JP" altLang="en-US" sz="1100" b="0" i="0" u="none" strike="noStrike" baseline="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ご利用にあたって</a:t>
          </a:r>
          <a:endParaRPr lang="en-US" altLang="ja-JP" sz="1100" b="0" i="0" u="none" strike="noStrike" baseline="0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 rtl="0"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游ゴシック"/>
            <a:ea typeface="游ゴシック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游ゴシック"/>
              <a:ea typeface="游ゴシック"/>
            </a:rPr>
            <a:t>左表の「年齢」「所得情報」欄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游ゴシック"/>
              <a:ea typeface="游ゴシック"/>
            </a:rPr>
            <a:t>（</a:t>
          </a:r>
          <a:r>
            <a:rPr lang="ja-JP" altLang="ja-JP" sz="9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「世帯主」「擬制世帯主」のいずれかと</a:t>
          </a:r>
          <a:r>
            <a:rPr lang="ja-JP" altLang="en-US" sz="9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世帯員）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游ゴシック"/>
              <a:ea typeface="游ゴシック"/>
            </a:rPr>
            <a:t>に入力することで、令和</a:t>
          </a:r>
          <a:r>
            <a:rPr lang="ja-JP" altLang="en-US" sz="1100" b="0" i="0" u="none" strike="noStrike" baseline="0">
              <a:solidFill>
                <a:srgbClr val="FF0000"/>
              </a:solidFill>
              <a:latin typeface="游ゴシック"/>
              <a:ea typeface="游ゴシック"/>
            </a:rPr>
            <a:t>5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游ゴシック"/>
              <a:ea typeface="游ゴシック"/>
            </a:rPr>
            <a:t>年度の後期高齢者医療保険料、国民健康保険税の年間額を試算できます。</a:t>
          </a:r>
          <a:endParaRPr lang="en-US" altLang="ja-JP" sz="1100" b="0" i="0" u="none" strike="noStrike" baseline="0">
            <a:solidFill>
              <a:srgbClr val="000000"/>
            </a:solidFill>
            <a:latin typeface="游ゴシック"/>
            <a:ea typeface="游ゴシック"/>
          </a:endParaRPr>
        </a:p>
        <a:p>
          <a:pPr algn="l" rtl="0"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游ゴシック"/>
            <a:ea typeface="游ゴシック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游ゴシック"/>
              <a:ea typeface="游ゴシック"/>
            </a:rPr>
            <a:t>給与収入、年金収入から所得を計算されたい場合は、「所得計算用シート」をご活用ください。</a:t>
          </a:r>
          <a:endParaRPr lang="en-US" altLang="ja-JP" sz="1100" b="0" i="0" u="none" strike="noStrike" baseline="0">
            <a:solidFill>
              <a:srgbClr val="000000"/>
            </a:solidFill>
            <a:latin typeface="游ゴシック"/>
            <a:ea typeface="游ゴシック"/>
          </a:endParaRPr>
        </a:p>
        <a:p>
          <a:pPr algn="l" rtl="0"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游ゴシック"/>
            <a:ea typeface="游ゴシック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游ゴシック"/>
              <a:ea typeface="游ゴシック"/>
            </a:rPr>
            <a:t>本表の結果はあくまで試算です。</a:t>
          </a:r>
          <a:r>
            <a:rPr lang="ja-JP" altLang="en-US" sz="1100" b="0" i="0" u="sng" strike="noStrike" baseline="0">
              <a:solidFill>
                <a:srgbClr val="000000"/>
              </a:solidFill>
              <a:latin typeface="游ゴシック"/>
              <a:ea typeface="游ゴシック"/>
            </a:rPr>
            <a:t>実際の保険税</a:t>
          </a:r>
          <a:r>
            <a:rPr lang="en-US" altLang="ja-JP" sz="1100" b="0" i="0" u="sng" strike="noStrike" baseline="0">
              <a:solidFill>
                <a:srgbClr val="000000"/>
              </a:solidFill>
              <a:latin typeface="游ゴシック"/>
              <a:ea typeface="游ゴシック"/>
            </a:rPr>
            <a:t>(</a:t>
          </a:r>
          <a:r>
            <a:rPr lang="ja-JP" altLang="en-US" sz="1100" b="0" i="0" u="sng" strike="noStrike" baseline="0">
              <a:solidFill>
                <a:srgbClr val="000000"/>
              </a:solidFill>
              <a:latin typeface="游ゴシック"/>
              <a:ea typeface="游ゴシック"/>
            </a:rPr>
            <a:t>料</a:t>
          </a:r>
          <a:r>
            <a:rPr lang="en-US" altLang="ja-JP" sz="1100" b="0" i="0" u="sng" strike="noStrike" baseline="0">
              <a:solidFill>
                <a:srgbClr val="000000"/>
              </a:solidFill>
              <a:latin typeface="游ゴシック"/>
              <a:ea typeface="游ゴシック"/>
            </a:rPr>
            <a:t>)</a:t>
          </a:r>
          <a:r>
            <a:rPr lang="ja-JP" altLang="en-US" sz="1100" b="0" i="0" u="sng" strike="noStrike" baseline="0">
              <a:solidFill>
                <a:srgbClr val="000000"/>
              </a:solidFill>
              <a:latin typeface="游ゴシック"/>
              <a:ea typeface="游ゴシック"/>
            </a:rPr>
            <a:t>額とは異なる場合があります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游ゴシック"/>
              <a:ea typeface="游ゴシック"/>
            </a:rPr>
            <a:t>ので、あらかじめご了承ください。</a:t>
          </a:r>
          <a:endParaRPr lang="en-US" altLang="ja-JP" sz="1100" b="0" i="0" u="none" strike="noStrike" baseline="0">
            <a:solidFill>
              <a:srgbClr val="000000"/>
            </a:solidFill>
            <a:latin typeface="游ゴシック"/>
            <a:ea typeface="游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游ゴシック"/>
            <a:ea typeface="游ゴシック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361950</xdr:colOff>
      <xdr:row>5</xdr:row>
      <xdr:rowOff>28575</xdr:rowOff>
    </xdr:from>
    <xdr:to>
      <xdr:col>16</xdr:col>
      <xdr:colOff>457200</xdr:colOff>
      <xdr:row>9</xdr:row>
      <xdr:rowOff>200025</xdr:rowOff>
    </xdr:to>
    <xdr:sp macro="" textlink="">
      <xdr:nvSpPr>
        <xdr:cNvPr id="2" name="角丸四角形 1"/>
        <xdr:cNvSpPr/>
      </xdr:nvSpPr>
      <xdr:spPr>
        <a:xfrm>
          <a:off x="8591550" y="1285875"/>
          <a:ext cx="2838450" cy="1190625"/>
        </a:xfrm>
        <a:prstGeom prst="roundRect">
          <a:avLst/>
        </a:prstGeom>
        <a:noFill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638175</xdr:colOff>
      <xdr:row>0</xdr:row>
      <xdr:rowOff>28575</xdr:rowOff>
    </xdr:from>
    <xdr:to>
      <xdr:col>4</xdr:col>
      <xdr:colOff>171450</xdr:colOff>
      <xdr:row>12</xdr:row>
      <xdr:rowOff>47625</xdr:rowOff>
    </xdr:to>
    <xdr:cxnSp macro="">
      <xdr:nvCxnSpPr>
        <xdr:cNvPr id="3" name="直線コネクタ 2"/>
        <xdr:cNvCxnSpPr/>
      </xdr:nvCxnSpPr>
      <xdr:spPr>
        <a:xfrm>
          <a:off x="638175" y="28575"/>
          <a:ext cx="2276475" cy="28765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 tint="0.59999389629810485"/>
  </sheetPr>
  <dimension ref="A1:O17"/>
  <sheetViews>
    <sheetView showGridLines="0" tabSelected="1" view="pageBreakPreview" zoomScaleNormal="100" zoomScaleSheetLayoutView="100" workbookViewId="0">
      <selection activeCell="B6" sqref="B6"/>
    </sheetView>
  </sheetViews>
  <sheetFormatPr defaultRowHeight="18.75"/>
  <cols>
    <col min="1" max="1" width="7.625" style="5" customWidth="1"/>
    <col min="2" max="2" width="20.75" style="5" customWidth="1"/>
    <col min="3" max="3" width="9" style="5"/>
    <col min="4" max="7" width="13.875" style="5" customWidth="1"/>
    <col min="8" max="8" width="4.5" style="5" customWidth="1"/>
    <col min="9" max="9" width="9" style="5"/>
    <col min="10" max="10" width="1.75" style="68" customWidth="1"/>
    <col min="11" max="11" width="9" style="5"/>
    <col min="12" max="12" width="2.375" style="99" hidden="1" customWidth="1"/>
    <col min="13" max="13" width="0" style="99" hidden="1" customWidth="1"/>
    <col min="14" max="14" width="1.625" style="5" hidden="1" customWidth="1"/>
    <col min="15" max="15" width="22.125" style="5" hidden="1" customWidth="1"/>
    <col min="16" max="16384" width="9" style="5"/>
  </cols>
  <sheetData>
    <row r="1" spans="1:15" ht="18.75" customHeight="1">
      <c r="A1" s="188" t="s">
        <v>140</v>
      </c>
      <c r="B1" s="189"/>
      <c r="C1" s="190"/>
      <c r="D1" s="188" t="s">
        <v>127</v>
      </c>
      <c r="E1" s="189"/>
      <c r="F1" s="189"/>
      <c r="G1" s="190"/>
      <c r="I1" s="162" t="s">
        <v>158</v>
      </c>
      <c r="J1" s="127"/>
      <c r="K1" s="162" t="s">
        <v>136</v>
      </c>
    </row>
    <row r="2" spans="1:15" ht="33">
      <c r="A2" s="62"/>
      <c r="B2" s="63" t="s">
        <v>62</v>
      </c>
      <c r="C2" s="63" t="s">
        <v>2</v>
      </c>
      <c r="D2" s="63" t="s">
        <v>129</v>
      </c>
      <c r="E2" s="63" t="s">
        <v>63</v>
      </c>
      <c r="F2" s="81" t="s">
        <v>64</v>
      </c>
      <c r="G2" s="186" t="s">
        <v>157</v>
      </c>
      <c r="I2" s="158" t="s">
        <v>130</v>
      </c>
      <c r="K2" s="158" t="s">
        <v>131</v>
      </c>
      <c r="M2" s="146" t="s">
        <v>118</v>
      </c>
      <c r="O2" s="5" t="s">
        <v>119</v>
      </c>
    </row>
    <row r="3" spans="1:15" ht="26.25" customHeight="1">
      <c r="A3" s="64" t="s">
        <v>4</v>
      </c>
      <c r="B3" s="73"/>
      <c r="C3" s="65"/>
      <c r="D3" s="75"/>
      <c r="E3" s="75"/>
      <c r="F3" s="82"/>
      <c r="G3" s="84"/>
      <c r="H3" s="125"/>
      <c r="I3" s="126" t="str">
        <f>後計算!S4</f>
        <v/>
      </c>
      <c r="J3" s="143"/>
      <c r="K3" s="191" t="str">
        <f>IF(国計算!W33=0,"",国計算!W33)</f>
        <v/>
      </c>
      <c r="L3" s="142"/>
      <c r="M3" s="145" t="str">
        <f>給計算!D4</f>
        <v/>
      </c>
      <c r="N3" s="125"/>
      <c r="O3" s="163" t="str">
        <f>給計算!H4</f>
        <v/>
      </c>
    </row>
    <row r="4" spans="1:15" ht="26.25" customHeight="1">
      <c r="A4" s="156" t="s">
        <v>128</v>
      </c>
      <c r="B4" s="73"/>
      <c r="C4" s="65"/>
      <c r="D4" s="75"/>
      <c r="E4" s="75"/>
      <c r="F4" s="82"/>
      <c r="G4" s="84"/>
      <c r="H4" s="125"/>
      <c r="I4" s="126" t="str">
        <f>後計算!S5</f>
        <v/>
      </c>
      <c r="J4" s="128"/>
      <c r="K4" s="192"/>
      <c r="L4" s="142"/>
      <c r="M4" s="145" t="str">
        <f>給計算!D5</f>
        <v/>
      </c>
      <c r="N4" s="125"/>
      <c r="O4" s="163" t="str">
        <f>給計算!H5</f>
        <v/>
      </c>
    </row>
    <row r="5" spans="1:15" ht="26.25" customHeight="1">
      <c r="A5" s="64">
        <v>2</v>
      </c>
      <c r="B5" s="73"/>
      <c r="C5" s="65"/>
      <c r="D5" s="75"/>
      <c r="E5" s="75"/>
      <c r="F5" s="82"/>
      <c r="G5" s="84"/>
      <c r="H5" s="125"/>
      <c r="I5" s="126" t="str">
        <f>後計算!S6</f>
        <v/>
      </c>
      <c r="J5" s="128"/>
      <c r="K5" s="192"/>
      <c r="L5" s="142"/>
      <c r="M5" s="145" t="str">
        <f>給計算!D6</f>
        <v/>
      </c>
      <c r="N5" s="125"/>
      <c r="O5" s="163" t="str">
        <f>給計算!H6</f>
        <v/>
      </c>
    </row>
    <row r="6" spans="1:15" ht="26.25" customHeight="1">
      <c r="A6" s="64">
        <v>3</v>
      </c>
      <c r="B6" s="73"/>
      <c r="C6" s="65"/>
      <c r="D6" s="75"/>
      <c r="E6" s="75"/>
      <c r="F6" s="82"/>
      <c r="G6" s="84"/>
      <c r="H6" s="125"/>
      <c r="I6" s="126" t="str">
        <f>後計算!S7</f>
        <v/>
      </c>
      <c r="J6" s="128"/>
      <c r="K6" s="192"/>
      <c r="L6" s="142"/>
      <c r="M6" s="145" t="str">
        <f>給計算!D7</f>
        <v/>
      </c>
      <c r="N6" s="125"/>
      <c r="O6" s="163" t="str">
        <f>給計算!H7</f>
        <v/>
      </c>
    </row>
    <row r="7" spans="1:15" ht="26.25" customHeight="1">
      <c r="A7" s="157">
        <v>4</v>
      </c>
      <c r="B7" s="74"/>
      <c r="C7" s="66"/>
      <c r="D7" s="76"/>
      <c r="E7" s="76"/>
      <c r="F7" s="83"/>
      <c r="G7" s="85"/>
      <c r="H7" s="125"/>
      <c r="I7" s="126" t="str">
        <f>後計算!S8</f>
        <v/>
      </c>
      <c r="J7" s="128"/>
      <c r="K7" s="192"/>
      <c r="L7" s="142"/>
      <c r="M7" s="145" t="str">
        <f>給計算!D8</f>
        <v/>
      </c>
      <c r="N7" s="125"/>
      <c r="O7" s="163" t="str">
        <f>給計算!H8</f>
        <v/>
      </c>
    </row>
    <row r="8" spans="1:15" ht="26.25" customHeight="1">
      <c r="A8" s="64">
        <v>5</v>
      </c>
      <c r="B8" s="73"/>
      <c r="C8" s="164"/>
      <c r="D8" s="75"/>
      <c r="E8" s="75"/>
      <c r="F8" s="82"/>
      <c r="G8" s="84"/>
      <c r="H8" s="125"/>
      <c r="I8" s="126" t="str">
        <f>後計算!S9</f>
        <v/>
      </c>
      <c r="J8" s="128"/>
      <c r="K8" s="192"/>
      <c r="L8" s="142"/>
      <c r="M8" s="145" t="str">
        <f>給計算!D9</f>
        <v/>
      </c>
      <c r="N8" s="125"/>
      <c r="O8" s="163" t="str">
        <f>給計算!H9</f>
        <v/>
      </c>
    </row>
    <row r="9" spans="1:15" ht="18.75" customHeight="1">
      <c r="A9" s="67" t="s">
        <v>139</v>
      </c>
      <c r="B9" s="68"/>
      <c r="C9" s="69"/>
      <c r="D9" s="77"/>
      <c r="E9" s="77"/>
      <c r="F9" s="77"/>
      <c r="G9" s="77"/>
      <c r="H9" s="125"/>
      <c r="I9" s="153"/>
      <c r="J9" s="128"/>
      <c r="K9" s="192"/>
      <c r="L9" s="154"/>
      <c r="M9" s="100" t="s">
        <v>116</v>
      </c>
    </row>
    <row r="10" spans="1:15" ht="34.5">
      <c r="A10" s="165" t="s">
        <v>141</v>
      </c>
      <c r="B10" s="73"/>
      <c r="C10" s="65"/>
      <c r="D10" s="75"/>
      <c r="E10" s="75"/>
      <c r="F10" s="82"/>
      <c r="G10" s="84"/>
      <c r="H10" s="125"/>
      <c r="I10" s="126" t="str">
        <f>後計算!S11</f>
        <v/>
      </c>
      <c r="J10" s="144"/>
      <c r="K10" s="193"/>
      <c r="L10" s="155"/>
    </row>
    <row r="11" spans="1:15" ht="13.5" customHeight="1">
      <c r="I11" s="166" t="s">
        <v>117</v>
      </c>
      <c r="J11" s="167"/>
      <c r="K11" s="168" t="s">
        <v>117</v>
      </c>
    </row>
    <row r="12" spans="1:15">
      <c r="A12" s="129" t="s">
        <v>132</v>
      </c>
      <c r="K12" s="187" t="str">
        <f>給計算!C18</f>
        <v/>
      </c>
    </row>
    <row r="13" spans="1:15">
      <c r="A13" s="161" t="s">
        <v>85</v>
      </c>
    </row>
    <row r="14" spans="1:15">
      <c r="A14" s="5" t="s">
        <v>81</v>
      </c>
      <c r="C14" s="5" t="s">
        <v>83</v>
      </c>
      <c r="G14" s="159"/>
      <c r="H14" s="45" t="s">
        <v>133</v>
      </c>
      <c r="I14" s="5" t="s">
        <v>134</v>
      </c>
    </row>
    <row r="15" spans="1:15">
      <c r="A15" s="5" t="s">
        <v>82</v>
      </c>
      <c r="C15" s="5" t="s">
        <v>84</v>
      </c>
      <c r="E15" s="5" t="s">
        <v>135</v>
      </c>
      <c r="H15" s="45"/>
    </row>
    <row r="16" spans="1:15">
      <c r="A16" s="5" t="s">
        <v>126</v>
      </c>
      <c r="G16" s="160"/>
      <c r="H16" s="45" t="s">
        <v>133</v>
      </c>
      <c r="I16" s="5" t="s">
        <v>137</v>
      </c>
    </row>
    <row r="17" spans="1:1">
      <c r="A17" s="5" t="s">
        <v>138</v>
      </c>
    </row>
  </sheetData>
  <sheetProtection algorithmName="SHA-512" hashValue="LWnU9wJgELQRMFB+GX8nHVBRxfLbAz9fcHEr3FMacUhzQPdxSQOfVGHjL8Tl2f5VTZLXi5yiWngIX8RW9cQVnA==" saltValue="8uGaoCwGoIAr2WxkVsUE2Q==" spinCount="100000" sheet="1" objects="1" scenarios="1"/>
  <protectedRanges>
    <protectedRange sqref="B3:G8 B10:G10" name="範囲1"/>
  </protectedRanges>
  <mergeCells count="3">
    <mergeCell ref="A1:C1"/>
    <mergeCell ref="K3:K10"/>
    <mergeCell ref="D1:G1"/>
  </mergeCells>
  <phoneticPr fontId="1"/>
  <pageMargins left="0.7" right="0.7" top="0.75" bottom="0.75" header="0.3" footer="0.3"/>
  <pageSetup paperSize="9" orientation="landscape" r:id="rId1"/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11"/>
  <sheetViews>
    <sheetView workbookViewId="0">
      <selection activeCell="A15" sqref="A15:D16"/>
    </sheetView>
  </sheetViews>
  <sheetFormatPr defaultRowHeight="18.75"/>
  <sheetData>
    <row r="2" spans="2:4">
      <c r="B2" t="s">
        <v>68</v>
      </c>
      <c r="D2" s="88">
        <v>72000</v>
      </c>
    </row>
    <row r="3" spans="2:4">
      <c r="B3" t="s">
        <v>69</v>
      </c>
      <c r="C3" s="86">
        <v>0.3</v>
      </c>
      <c r="D3" s="87">
        <f>$D$2*C3</f>
        <v>21600</v>
      </c>
    </row>
    <row r="4" spans="2:4">
      <c r="B4" t="s">
        <v>70</v>
      </c>
      <c r="C4" s="86">
        <v>0.5</v>
      </c>
      <c r="D4" s="87">
        <f t="shared" ref="D4:D11" si="0">$D$2*C4</f>
        <v>36000</v>
      </c>
    </row>
    <row r="5" spans="2:4">
      <c r="B5" t="s">
        <v>71</v>
      </c>
      <c r="C5" s="86">
        <v>0.7</v>
      </c>
      <c r="D5" s="87">
        <f t="shared" si="0"/>
        <v>50400</v>
      </c>
    </row>
    <row r="6" spans="2:4">
      <c r="B6" t="s">
        <v>72</v>
      </c>
      <c r="C6" s="86">
        <v>0.9</v>
      </c>
      <c r="D6" s="87">
        <f t="shared" si="0"/>
        <v>64800</v>
      </c>
    </row>
    <row r="7" spans="2:4">
      <c r="B7" t="s">
        <v>73</v>
      </c>
      <c r="C7" s="86">
        <v>1</v>
      </c>
      <c r="D7" s="87">
        <f t="shared" si="0"/>
        <v>72000</v>
      </c>
    </row>
    <row r="8" spans="2:4">
      <c r="B8" t="s">
        <v>74</v>
      </c>
      <c r="C8" s="86">
        <v>1.2</v>
      </c>
      <c r="D8" s="87">
        <f t="shared" si="0"/>
        <v>86400</v>
      </c>
    </row>
    <row r="9" spans="2:4">
      <c r="B9" t="s">
        <v>75</v>
      </c>
      <c r="C9" s="86">
        <v>1.3</v>
      </c>
      <c r="D9" s="87">
        <f t="shared" si="0"/>
        <v>93600</v>
      </c>
    </row>
    <row r="10" spans="2:4">
      <c r="B10" t="s">
        <v>76</v>
      </c>
      <c r="C10" s="86">
        <v>1.5</v>
      </c>
      <c r="D10" s="87">
        <f t="shared" si="0"/>
        <v>108000</v>
      </c>
    </row>
    <row r="11" spans="2:4">
      <c r="B11" t="s">
        <v>77</v>
      </c>
      <c r="C11" s="86">
        <v>1.7</v>
      </c>
      <c r="D11" s="87">
        <f t="shared" si="0"/>
        <v>122400</v>
      </c>
    </row>
  </sheetData>
  <phoneticPr fontId="1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2:R18"/>
  <sheetViews>
    <sheetView showGridLines="0" workbookViewId="0">
      <selection activeCell="C7" sqref="C7"/>
    </sheetView>
  </sheetViews>
  <sheetFormatPr defaultRowHeight="18.75"/>
  <cols>
    <col min="6" max="6" width="9" style="135"/>
  </cols>
  <sheetData>
    <row r="2" spans="1:18" ht="24">
      <c r="A2" s="172" t="s">
        <v>143</v>
      </c>
      <c r="G2" s="172" t="s">
        <v>156</v>
      </c>
    </row>
    <row r="3" spans="1:18">
      <c r="A3" t="s">
        <v>152</v>
      </c>
    </row>
    <row r="4" spans="1:18">
      <c r="A4" s="194"/>
      <c r="B4" s="194"/>
      <c r="C4" s="194"/>
      <c r="D4" s="194"/>
      <c r="F4" s="195" t="s">
        <v>145</v>
      </c>
      <c r="G4" s="197" t="str">
        <f>IF(A4="","",所得計算デ!H15)</f>
        <v/>
      </c>
      <c r="H4" s="197"/>
      <c r="I4" s="197"/>
      <c r="J4" s="197"/>
    </row>
    <row r="5" spans="1:18">
      <c r="A5" s="194"/>
      <c r="B5" s="194"/>
      <c r="C5" s="194"/>
      <c r="D5" s="194"/>
      <c r="E5" t="s">
        <v>117</v>
      </c>
      <c r="F5" s="196"/>
      <c r="G5" s="197"/>
      <c r="H5" s="197"/>
      <c r="I5" s="197"/>
      <c r="J5" s="197"/>
      <c r="K5" t="s">
        <v>117</v>
      </c>
    </row>
    <row r="6" spans="1:18">
      <c r="A6" s="179"/>
      <c r="B6" s="179"/>
      <c r="C6" s="179"/>
      <c r="D6" s="179"/>
      <c r="E6" s="179"/>
      <c r="F6" s="185"/>
      <c r="G6" s="179"/>
      <c r="H6" s="179"/>
      <c r="I6" s="179"/>
      <c r="J6" s="179"/>
      <c r="K6" s="179"/>
      <c r="L6" s="179"/>
      <c r="M6" s="5"/>
      <c r="N6" s="5"/>
      <c r="O6" s="5"/>
      <c r="P6" s="5"/>
      <c r="Q6" s="68"/>
      <c r="R6" s="5"/>
    </row>
    <row r="7" spans="1:18">
      <c r="M7" s="5"/>
      <c r="N7" s="159"/>
      <c r="O7" s="45" t="s">
        <v>133</v>
      </c>
      <c r="P7" s="5" t="s">
        <v>134</v>
      </c>
      <c r="Q7" s="68"/>
      <c r="R7" s="5"/>
    </row>
    <row r="8" spans="1:18" ht="24">
      <c r="A8" s="172" t="s">
        <v>148</v>
      </c>
      <c r="G8" s="172" t="s">
        <v>154</v>
      </c>
      <c r="M8" s="5"/>
      <c r="N8" s="5"/>
      <c r="O8" s="45"/>
      <c r="P8" s="5"/>
      <c r="Q8" s="68"/>
      <c r="R8" s="5"/>
    </row>
    <row r="9" spans="1:18">
      <c r="A9" t="s">
        <v>152</v>
      </c>
      <c r="M9" s="5"/>
      <c r="N9" s="160"/>
      <c r="O9" s="45" t="s">
        <v>133</v>
      </c>
      <c r="P9" s="5" t="s">
        <v>153</v>
      </c>
      <c r="Q9" s="68"/>
      <c r="R9" s="5"/>
    </row>
    <row r="10" spans="1:18">
      <c r="A10" s="194"/>
      <c r="B10" s="194"/>
      <c r="C10" s="194"/>
      <c r="D10" s="194"/>
      <c r="F10" s="195" t="s">
        <v>145</v>
      </c>
      <c r="G10" s="197" t="str">
        <f>IF(A10="","",所得計算デ!R9)</f>
        <v/>
      </c>
      <c r="H10" s="197"/>
      <c r="I10" s="197"/>
      <c r="J10" s="197"/>
      <c r="M10" s="5"/>
      <c r="N10" s="5"/>
      <c r="O10" s="5"/>
      <c r="P10" s="5"/>
      <c r="Q10" s="68"/>
      <c r="R10" s="5"/>
    </row>
    <row r="11" spans="1:18">
      <c r="A11" s="194"/>
      <c r="B11" s="194"/>
      <c r="C11" s="194"/>
      <c r="D11" s="194"/>
      <c r="E11" t="s">
        <v>117</v>
      </c>
      <c r="F11" s="196"/>
      <c r="G11" s="197"/>
      <c r="H11" s="197"/>
      <c r="I11" s="197"/>
      <c r="J11" s="197"/>
      <c r="K11" t="s">
        <v>117</v>
      </c>
    </row>
    <row r="13" spans="1:18" ht="24">
      <c r="A13" s="172" t="s">
        <v>150</v>
      </c>
      <c r="G13" s="172" t="s">
        <v>155</v>
      </c>
    </row>
    <row r="14" spans="1:18">
      <c r="A14" t="s">
        <v>152</v>
      </c>
    </row>
    <row r="15" spans="1:18">
      <c r="A15" s="194"/>
      <c r="B15" s="194"/>
      <c r="C15" s="194"/>
      <c r="D15" s="194"/>
      <c r="F15" s="195" t="s">
        <v>145</v>
      </c>
      <c r="G15" s="197" t="str">
        <f>IF(A15="","",所得計算デ!R20)</f>
        <v/>
      </c>
      <c r="H15" s="197"/>
      <c r="I15" s="197"/>
      <c r="J15" s="197"/>
    </row>
    <row r="16" spans="1:18">
      <c r="A16" s="194"/>
      <c r="B16" s="194"/>
      <c r="C16" s="194"/>
      <c r="D16" s="194"/>
      <c r="E16" t="s">
        <v>117</v>
      </c>
      <c r="F16" s="196"/>
      <c r="G16" s="197"/>
      <c r="H16" s="197"/>
      <c r="I16" s="197"/>
      <c r="J16" s="197"/>
      <c r="K16" t="s">
        <v>117</v>
      </c>
    </row>
    <row r="18" spans="1:1">
      <c r="A18" s="178" t="s">
        <v>149</v>
      </c>
    </row>
  </sheetData>
  <sheetProtection algorithmName="SHA-512" hashValue="hg+4Xhzpw81srL1J+KhGWP7hsi6aeWc7uN3G5F9XR3SAhgs01yLVKhwNMVuyF1LEvPol9Jo/VESPQyQl4Q7IGw==" saltValue="kjlQjY/VfrVl/FahKTl4SA==" spinCount="100000" sheet="1" objects="1" scenarios="1"/>
  <protectedRanges>
    <protectedRange sqref="A4:D5 A10:D11 A15:D16" name="範囲1"/>
  </protectedRanges>
  <mergeCells count="9">
    <mergeCell ref="A15:D16"/>
    <mergeCell ref="F15:F16"/>
    <mergeCell ref="G15:J16"/>
    <mergeCell ref="A4:D5"/>
    <mergeCell ref="A10:D11"/>
    <mergeCell ref="F4:F5"/>
    <mergeCell ref="F10:F11"/>
    <mergeCell ref="G4:J5"/>
    <mergeCell ref="G10:J11"/>
  </mergeCells>
  <phoneticPr fontId="1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0"/>
  <sheetViews>
    <sheetView workbookViewId="0">
      <selection activeCell="A15" sqref="A15:D16"/>
    </sheetView>
  </sheetViews>
  <sheetFormatPr defaultRowHeight="18.75"/>
  <cols>
    <col min="1" max="2" width="9" style="130"/>
    <col min="3" max="3" width="3.375" style="169" bestFit="1" customWidth="1"/>
    <col min="4" max="4" width="9.5" style="130" bestFit="1" customWidth="1"/>
    <col min="5" max="5" width="3.125" style="130" customWidth="1"/>
    <col min="6" max="6" width="10.5" style="130" bestFit="1" customWidth="1"/>
    <col min="7" max="7" width="3.5" style="130" customWidth="1"/>
    <col min="8" max="8" width="9.5" style="130" bestFit="1" customWidth="1"/>
    <col min="9" max="10" width="3.375" style="130" customWidth="1"/>
    <col min="11" max="11" width="9" style="130"/>
    <col min="12" max="12" width="10.5" style="130" bestFit="1" customWidth="1"/>
    <col min="13" max="13" width="3.375" style="169" bestFit="1" customWidth="1"/>
    <col min="14" max="14" width="11.625" style="130" bestFit="1" customWidth="1"/>
    <col min="15" max="15" width="3.125" style="130" customWidth="1"/>
    <col min="16" max="16" width="11.5" style="130" bestFit="1" customWidth="1"/>
    <col min="17" max="17" width="3.5" style="130" customWidth="1"/>
    <col min="18" max="18" width="9.5" style="130" bestFit="1" customWidth="1"/>
    <col min="19" max="16384" width="9" style="130"/>
  </cols>
  <sheetData>
    <row r="1" spans="1:19">
      <c r="E1" s="177" t="s">
        <v>146</v>
      </c>
      <c r="F1" s="171">
        <f>所得計算用シート!A4</f>
        <v>0</v>
      </c>
      <c r="J1" s="183"/>
      <c r="O1" s="177" t="s">
        <v>146</v>
      </c>
      <c r="P1" s="171">
        <f>所得計算用シート!A10</f>
        <v>0</v>
      </c>
    </row>
    <row r="2" spans="1:19">
      <c r="A2" s="130" t="s">
        <v>129</v>
      </c>
      <c r="H2" s="169" t="s">
        <v>144</v>
      </c>
      <c r="J2" s="183"/>
      <c r="K2" s="130" t="s">
        <v>63</v>
      </c>
      <c r="R2" s="169" t="s">
        <v>144</v>
      </c>
    </row>
    <row r="3" spans="1:19">
      <c r="B3" s="170">
        <v>0</v>
      </c>
      <c r="C3" s="169" t="s">
        <v>142</v>
      </c>
      <c r="D3" s="170">
        <v>550999</v>
      </c>
      <c r="F3" s="170">
        <v>0</v>
      </c>
      <c r="H3" s="173">
        <f>IF(AND($F$1&gt;=B3,$F$1&lt;=D3),F3,"")</f>
        <v>0</v>
      </c>
      <c r="J3" s="183"/>
      <c r="K3" s="130" t="s">
        <v>151</v>
      </c>
      <c r="L3" s="170">
        <v>0</v>
      </c>
      <c r="M3" s="169" t="s">
        <v>142</v>
      </c>
      <c r="N3" s="170">
        <v>3299999</v>
      </c>
      <c r="P3" s="87">
        <f>P1-1100000</f>
        <v>-1100000</v>
      </c>
      <c r="R3" s="173">
        <f>IF(AND($P$1&gt;=L3,$P$1&lt;=N3),P3,"")</f>
        <v>-1100000</v>
      </c>
    </row>
    <row r="4" spans="1:19">
      <c r="B4" s="87">
        <f>D3+1</f>
        <v>551000</v>
      </c>
      <c r="C4" s="169" t="s">
        <v>142</v>
      </c>
      <c r="D4" s="170">
        <v>1618999</v>
      </c>
      <c r="F4" s="87">
        <f>F1-550000</f>
        <v>-550000</v>
      </c>
      <c r="H4" s="174" t="str">
        <f t="shared" ref="H4:H12" si="0">IF(AND($F$1&gt;=B4,$F$1&lt;=D4),F4,"")</f>
        <v/>
      </c>
      <c r="J4" s="183"/>
      <c r="L4" s="87">
        <f>N3+1</f>
        <v>3300000</v>
      </c>
      <c r="M4" s="169" t="s">
        <v>142</v>
      </c>
      <c r="N4" s="170">
        <v>4099999</v>
      </c>
      <c r="P4" s="87">
        <f>ROUNDDOWN(P1*0.75-275000,0)</f>
        <v>-275000</v>
      </c>
      <c r="R4" s="174" t="str">
        <f>IF(AND($P$1&gt;=L4,$P$1&lt;=N4),P4,"")</f>
        <v/>
      </c>
    </row>
    <row r="5" spans="1:19">
      <c r="B5" s="87">
        <f>D4+1</f>
        <v>1619000</v>
      </c>
      <c r="C5" s="169" t="s">
        <v>142</v>
      </c>
      <c r="D5" s="170">
        <v>1619999</v>
      </c>
      <c r="F5" s="170">
        <v>1069000</v>
      </c>
      <c r="H5" s="174" t="str">
        <f t="shared" si="0"/>
        <v/>
      </c>
      <c r="J5" s="183"/>
      <c r="L5" s="87">
        <f>N4+1</f>
        <v>4100000</v>
      </c>
      <c r="M5" s="169" t="s">
        <v>142</v>
      </c>
      <c r="N5" s="170">
        <v>7699999</v>
      </c>
      <c r="P5" s="180">
        <f>ROUNDDOWN(P1*0.85-685000,0)</f>
        <v>-685000</v>
      </c>
      <c r="R5" s="174" t="str">
        <f>IF(AND($P$1&gt;=L5,$P$1&lt;=N5),P5,"")</f>
        <v/>
      </c>
    </row>
    <row r="6" spans="1:19">
      <c r="B6" s="87">
        <f t="shared" ref="B6:B13" si="1">D5+1</f>
        <v>1620000</v>
      </c>
      <c r="C6" s="169" t="s">
        <v>142</v>
      </c>
      <c r="D6" s="170">
        <v>1621999</v>
      </c>
      <c r="F6" s="170">
        <v>1070000</v>
      </c>
      <c r="H6" s="174" t="str">
        <f t="shared" si="0"/>
        <v/>
      </c>
      <c r="J6" s="183"/>
      <c r="L6" s="87">
        <f t="shared" ref="L6:L7" si="2">N5+1</f>
        <v>7700000</v>
      </c>
      <c r="M6" s="169" t="s">
        <v>142</v>
      </c>
      <c r="N6" s="170">
        <v>9999999</v>
      </c>
      <c r="P6" s="180">
        <f>ROUNDDOWN(P1*0.95-1455000,0)</f>
        <v>-1455000</v>
      </c>
      <c r="R6" s="174" t="str">
        <f>IF(AND($P$1&gt;=L6,$P$1&lt;=N6),P6,"")</f>
        <v/>
      </c>
    </row>
    <row r="7" spans="1:19">
      <c r="B7" s="87">
        <f t="shared" si="1"/>
        <v>1622000</v>
      </c>
      <c r="C7" s="169" t="s">
        <v>142</v>
      </c>
      <c r="D7" s="170">
        <v>1623999</v>
      </c>
      <c r="F7" s="170">
        <v>1072000</v>
      </c>
      <c r="H7" s="174" t="str">
        <f t="shared" si="0"/>
        <v/>
      </c>
      <c r="J7" s="183"/>
      <c r="L7" s="87">
        <f t="shared" si="2"/>
        <v>10000000</v>
      </c>
      <c r="M7" s="169" t="s">
        <v>142</v>
      </c>
      <c r="N7" s="170"/>
      <c r="P7" s="180">
        <f>P1-1955000</f>
        <v>-1955000</v>
      </c>
      <c r="R7" s="175" t="str">
        <f>IF($P$1&gt;=L7,P7,"")</f>
        <v/>
      </c>
    </row>
    <row r="8" spans="1:19">
      <c r="B8" s="87">
        <f t="shared" si="1"/>
        <v>1624000</v>
      </c>
      <c r="C8" s="169" t="s">
        <v>142</v>
      </c>
      <c r="D8" s="170">
        <v>1627999</v>
      </c>
      <c r="F8" s="170">
        <v>1074000</v>
      </c>
      <c r="H8" s="174" t="str">
        <f t="shared" si="0"/>
        <v/>
      </c>
      <c r="J8" s="183"/>
    </row>
    <row r="9" spans="1:19" ht="19.5" thickBot="1">
      <c r="B9" s="87">
        <f t="shared" si="1"/>
        <v>1628000</v>
      </c>
      <c r="C9" s="169" t="s">
        <v>142</v>
      </c>
      <c r="D9" s="170">
        <v>1799999</v>
      </c>
      <c r="F9" s="87">
        <f>ROUNDDOWN(F1/4,-3)*2.4+100000</f>
        <v>100000</v>
      </c>
      <c r="H9" s="174" t="str">
        <f t="shared" si="0"/>
        <v/>
      </c>
      <c r="J9" s="183"/>
      <c r="Q9" s="177" t="s">
        <v>147</v>
      </c>
      <c r="R9" s="176">
        <f>SUM(R3:R7)</f>
        <v>-1100000</v>
      </c>
    </row>
    <row r="10" spans="1:19">
      <c r="B10" s="87">
        <f t="shared" si="1"/>
        <v>1800000</v>
      </c>
      <c r="C10" s="169" t="s">
        <v>142</v>
      </c>
      <c r="D10" s="170">
        <v>3599999</v>
      </c>
      <c r="F10" s="87">
        <f>ROUNDDOWN(F1/4,-3)*2.8-80000</f>
        <v>-80000</v>
      </c>
      <c r="H10" s="174" t="str">
        <f t="shared" si="0"/>
        <v/>
      </c>
      <c r="J10" s="184"/>
      <c r="K10" s="181"/>
      <c r="L10" s="181"/>
      <c r="M10" s="182"/>
      <c r="N10" s="181"/>
      <c r="O10" s="181"/>
      <c r="P10" s="181"/>
      <c r="Q10" s="181"/>
      <c r="R10" s="181"/>
      <c r="S10" s="181"/>
    </row>
    <row r="11" spans="1:19">
      <c r="B11" s="87">
        <f t="shared" si="1"/>
        <v>3600000</v>
      </c>
      <c r="C11" s="169" t="s">
        <v>142</v>
      </c>
      <c r="D11" s="170">
        <v>6599999</v>
      </c>
      <c r="F11" s="87">
        <f>ROUNDDOWN(F1/4,-3)*3.2-440000</f>
        <v>-440000</v>
      </c>
      <c r="H11" s="174" t="str">
        <f t="shared" si="0"/>
        <v/>
      </c>
      <c r="J11" s="183"/>
    </row>
    <row r="12" spans="1:19">
      <c r="B12" s="87">
        <f t="shared" si="1"/>
        <v>6600000</v>
      </c>
      <c r="C12" s="169" t="s">
        <v>142</v>
      </c>
      <c r="D12" s="170">
        <v>8499999</v>
      </c>
      <c r="F12" s="87">
        <f>ROUNDDOWN(F1*0.9-1100000,0)</f>
        <v>-1100000</v>
      </c>
      <c r="H12" s="174" t="str">
        <f t="shared" si="0"/>
        <v/>
      </c>
      <c r="J12" s="183"/>
      <c r="O12" s="177" t="s">
        <v>146</v>
      </c>
      <c r="P12" s="171">
        <f>所得計算用シート!A15</f>
        <v>0</v>
      </c>
    </row>
    <row r="13" spans="1:19">
      <c r="B13" s="87">
        <f t="shared" si="1"/>
        <v>8500000</v>
      </c>
      <c r="C13" s="169" t="s">
        <v>142</v>
      </c>
      <c r="F13" s="87">
        <f>F1-1950000</f>
        <v>-1950000</v>
      </c>
      <c r="H13" s="175" t="str">
        <f>IF($F$1&gt;=B13,F13,"")</f>
        <v/>
      </c>
      <c r="J13" s="183"/>
      <c r="K13" s="130" t="s">
        <v>63</v>
      </c>
      <c r="R13" s="169" t="s">
        <v>144</v>
      </c>
    </row>
    <row r="14" spans="1:19">
      <c r="J14" s="183"/>
      <c r="K14" s="130" t="s">
        <v>151</v>
      </c>
      <c r="L14" s="170">
        <v>0</v>
      </c>
      <c r="M14" s="169" t="s">
        <v>142</v>
      </c>
      <c r="N14" s="170">
        <v>1299999</v>
      </c>
      <c r="P14" s="87">
        <f>P12-600000</f>
        <v>-600000</v>
      </c>
      <c r="R14" s="173">
        <f>IF(AND($P$12&gt;=L14,$P$12&lt;=N14),P14,"")</f>
        <v>-600000</v>
      </c>
    </row>
    <row r="15" spans="1:19" ht="19.5" thickBot="1">
      <c r="G15" s="177" t="s">
        <v>147</v>
      </c>
      <c r="H15" s="176">
        <f>SUM(H3:H13)</f>
        <v>0</v>
      </c>
      <c r="J15" s="183"/>
      <c r="L15" s="87">
        <f>N14+1</f>
        <v>1300000</v>
      </c>
      <c r="M15" s="169" t="s">
        <v>142</v>
      </c>
      <c r="N15" s="170">
        <v>4099999</v>
      </c>
      <c r="P15" s="87">
        <f>ROUNDDOWN(P12*0.75-275000,0)</f>
        <v>-275000</v>
      </c>
      <c r="R15" s="174" t="str">
        <f>IF(AND($P$12&gt;=L15,$P$12&lt;=N15),P15,"")</f>
        <v/>
      </c>
    </row>
    <row r="16" spans="1:19">
      <c r="J16" s="183"/>
      <c r="L16" s="87">
        <f>N15+1</f>
        <v>4100000</v>
      </c>
      <c r="M16" s="169" t="s">
        <v>142</v>
      </c>
      <c r="N16" s="170">
        <v>7699999</v>
      </c>
      <c r="P16" s="180">
        <f>ROUNDDOWN(P12*0.85-685000,0)</f>
        <v>-685000</v>
      </c>
      <c r="R16" s="174" t="str">
        <f>IF(AND($P$12&gt;=L16,$P$12&lt;=N16),P16,"")</f>
        <v/>
      </c>
    </row>
    <row r="17" spans="10:18">
      <c r="J17" s="183"/>
      <c r="L17" s="87">
        <f t="shared" ref="L17:L18" si="3">N16+1</f>
        <v>7700000</v>
      </c>
      <c r="M17" s="169" t="s">
        <v>142</v>
      </c>
      <c r="N17" s="170">
        <v>9999999</v>
      </c>
      <c r="P17" s="180">
        <f>ROUNDDOWN(P12*0.95-1455000,0)</f>
        <v>-1455000</v>
      </c>
      <c r="R17" s="174" t="str">
        <f>IF(AND($P$12&gt;=L17,$P$12&lt;=N17),P17,"")</f>
        <v/>
      </c>
    </row>
    <row r="18" spans="10:18">
      <c r="J18" s="183"/>
      <c r="L18" s="87">
        <f t="shared" si="3"/>
        <v>10000000</v>
      </c>
      <c r="M18" s="169" t="s">
        <v>142</v>
      </c>
      <c r="N18" s="170"/>
      <c r="P18" s="180">
        <f>P12-1955000</f>
        <v>-1955000</v>
      </c>
      <c r="R18" s="175" t="str">
        <f>IF($P$12&gt;=L18,P18,"")</f>
        <v/>
      </c>
    </row>
    <row r="19" spans="10:18">
      <c r="J19" s="183"/>
    </row>
    <row r="20" spans="10:18" ht="19.5" thickBot="1">
      <c r="J20" s="183"/>
      <c r="Q20" s="177" t="s">
        <v>147</v>
      </c>
      <c r="R20" s="176">
        <f>SUM(R14:R18)</f>
        <v>-600000</v>
      </c>
    </row>
  </sheetData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19"/>
  <sheetViews>
    <sheetView topLeftCell="A4" workbookViewId="0">
      <selection activeCell="A15" sqref="A15:D16"/>
    </sheetView>
  </sheetViews>
  <sheetFormatPr defaultRowHeight="18.75"/>
  <cols>
    <col min="1" max="1" width="19.375" bestFit="1" customWidth="1"/>
    <col min="2" max="2" width="6.5" customWidth="1"/>
    <col min="4" max="4" width="9.5" bestFit="1" customWidth="1"/>
    <col min="7" max="7" width="5.625" customWidth="1"/>
    <col min="8" max="9" width="9.5" bestFit="1" customWidth="1"/>
  </cols>
  <sheetData>
    <row r="1" spans="1:10">
      <c r="A1" s="91" t="s">
        <v>86</v>
      </c>
      <c r="H1" s="91" t="s">
        <v>94</v>
      </c>
    </row>
    <row r="2" spans="1:10">
      <c r="A2" t="s">
        <v>87</v>
      </c>
      <c r="B2" t="s">
        <v>2</v>
      </c>
      <c r="C2" t="s">
        <v>92</v>
      </c>
      <c r="G2" t="s">
        <v>102</v>
      </c>
      <c r="H2" s="91"/>
    </row>
    <row r="3" spans="1:10">
      <c r="A3" t="s">
        <v>88</v>
      </c>
      <c r="B3" s="1">
        <v>6</v>
      </c>
      <c r="C3" s="86">
        <v>2</v>
      </c>
      <c r="H3" s="135" t="s">
        <v>114</v>
      </c>
    </row>
    <row r="4" spans="1:10">
      <c r="A4" t="s">
        <v>89</v>
      </c>
      <c r="B4" s="1">
        <v>70</v>
      </c>
      <c r="C4" s="86">
        <v>3</v>
      </c>
      <c r="H4" t="s">
        <v>99</v>
      </c>
      <c r="I4" t="s">
        <v>100</v>
      </c>
      <c r="J4" t="s">
        <v>103</v>
      </c>
    </row>
    <row r="5" spans="1:10">
      <c r="A5" t="s">
        <v>90</v>
      </c>
      <c r="B5" s="1">
        <v>75</v>
      </c>
      <c r="C5" s="86">
        <v>3</v>
      </c>
      <c r="D5" s="131">
        <v>1450000</v>
      </c>
      <c r="E5" t="s">
        <v>93</v>
      </c>
      <c r="G5" t="s">
        <v>95</v>
      </c>
      <c r="H5" s="131">
        <v>9010000</v>
      </c>
      <c r="I5" s="132"/>
      <c r="J5" s="90" t="s">
        <v>122</v>
      </c>
    </row>
    <row r="6" spans="1:10">
      <c r="A6" t="s">
        <v>91</v>
      </c>
      <c r="B6" s="1">
        <v>75</v>
      </c>
      <c r="C6" s="86">
        <v>2</v>
      </c>
      <c r="G6" t="s">
        <v>96</v>
      </c>
      <c r="H6" s="131">
        <v>6000000</v>
      </c>
      <c r="I6" s="133">
        <f>H5</f>
        <v>9010000</v>
      </c>
      <c r="J6" s="90" t="s">
        <v>123</v>
      </c>
    </row>
    <row r="7" spans="1:10">
      <c r="B7" t="s">
        <v>115</v>
      </c>
      <c r="G7" t="s">
        <v>97</v>
      </c>
      <c r="H7" s="131">
        <v>2100000</v>
      </c>
      <c r="I7" s="133">
        <f>H6</f>
        <v>6000000</v>
      </c>
      <c r="J7" s="90" t="s">
        <v>124</v>
      </c>
    </row>
    <row r="8" spans="1:10">
      <c r="G8" t="s">
        <v>98</v>
      </c>
      <c r="H8" s="90">
        <v>0</v>
      </c>
      <c r="I8" s="133">
        <f>H7</f>
        <v>2100000</v>
      </c>
      <c r="J8" s="89">
        <v>57600</v>
      </c>
    </row>
    <row r="9" spans="1:10">
      <c r="G9" t="s">
        <v>101</v>
      </c>
      <c r="H9" s="90"/>
      <c r="I9" s="132"/>
      <c r="J9" s="89">
        <v>35400</v>
      </c>
    </row>
    <row r="11" spans="1:10">
      <c r="G11" t="s">
        <v>112</v>
      </c>
    </row>
    <row r="12" spans="1:10">
      <c r="H12" s="135" t="s">
        <v>114</v>
      </c>
    </row>
    <row r="13" spans="1:10">
      <c r="H13" t="s">
        <v>110</v>
      </c>
      <c r="I13" t="s">
        <v>111</v>
      </c>
      <c r="J13" t="s">
        <v>103</v>
      </c>
    </row>
    <row r="14" spans="1:10">
      <c r="G14" t="s">
        <v>104</v>
      </c>
      <c r="H14" s="131">
        <v>6900000</v>
      </c>
      <c r="I14" s="130"/>
      <c r="J14" s="90" t="s">
        <v>122</v>
      </c>
    </row>
    <row r="15" spans="1:10">
      <c r="G15" t="s">
        <v>105</v>
      </c>
      <c r="H15" s="131">
        <v>3800000</v>
      </c>
      <c r="I15" s="87">
        <f>H14</f>
        <v>6900000</v>
      </c>
      <c r="J15" s="90" t="s">
        <v>123</v>
      </c>
    </row>
    <row r="16" spans="1:10">
      <c r="G16" t="s">
        <v>106</v>
      </c>
      <c r="H16" s="131">
        <v>1450000</v>
      </c>
      <c r="I16" s="87">
        <f>H15</f>
        <v>3800000</v>
      </c>
      <c r="J16" s="90" t="s">
        <v>124</v>
      </c>
    </row>
    <row r="17" spans="7:10">
      <c r="G17" t="s">
        <v>107</v>
      </c>
      <c r="H17" s="131"/>
      <c r="I17" s="130"/>
      <c r="J17" s="89">
        <v>57600</v>
      </c>
    </row>
    <row r="18" spans="7:10">
      <c r="G18" t="s">
        <v>108</v>
      </c>
      <c r="H18" s="134"/>
      <c r="I18" s="130"/>
      <c r="J18" s="130">
        <v>24600</v>
      </c>
    </row>
    <row r="19" spans="7:10">
      <c r="G19" t="s">
        <v>109</v>
      </c>
      <c r="H19" s="134"/>
      <c r="I19" s="130"/>
      <c r="J19" s="130">
        <v>15000</v>
      </c>
    </row>
  </sheetData>
  <phoneticPr fontId="1"/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34"/>
  <sheetViews>
    <sheetView zoomScale="85" zoomScaleNormal="85" workbookViewId="0">
      <selection activeCell="A15" sqref="A15:D16"/>
    </sheetView>
  </sheetViews>
  <sheetFormatPr defaultRowHeight="18.75"/>
  <cols>
    <col min="1" max="1" width="9" style="5"/>
    <col min="2" max="2" width="6.75" style="45" bestFit="1" customWidth="1"/>
    <col min="3" max="3" width="10.5" style="45" bestFit="1" customWidth="1"/>
    <col min="4" max="4" width="10.5" style="45" customWidth="1"/>
    <col min="5" max="5" width="11" style="45" bestFit="1" customWidth="1"/>
    <col min="6" max="7" width="9.5" style="5" customWidth="1"/>
    <col min="8" max="8" width="25.375" style="25" customWidth="1"/>
    <col min="9" max="9" width="9.875" style="45" bestFit="1" customWidth="1"/>
    <col min="10" max="10" width="9.875" style="13" customWidth="1"/>
    <col min="11" max="11" width="9" style="5" bestFit="1" customWidth="1"/>
    <col min="12" max="12" width="13.125" style="5" customWidth="1"/>
    <col min="13" max="13" width="11" style="5" bestFit="1" customWidth="1"/>
    <col min="14" max="14" width="10.5" style="5" customWidth="1"/>
    <col min="15" max="15" width="10.5" style="5" bestFit="1" customWidth="1"/>
    <col min="16" max="16" width="9.5" style="5" bestFit="1" customWidth="1"/>
    <col min="17" max="17" width="8" style="5" bestFit="1" customWidth="1"/>
    <col min="18" max="18" width="9.5" style="5" bestFit="1" customWidth="1"/>
    <col min="19" max="19" width="5" style="5" bestFit="1" customWidth="1"/>
    <col min="20" max="20" width="9" style="5" bestFit="1" customWidth="1"/>
    <col min="21" max="21" width="8" style="5" bestFit="1" customWidth="1"/>
    <col min="22" max="22" width="6.375" style="5" bestFit="1" customWidth="1"/>
    <col min="23" max="23" width="8" style="5" bestFit="1" customWidth="1"/>
    <col min="24" max="24" width="9.375" style="5" bestFit="1" customWidth="1"/>
    <col min="25" max="25" width="9.375" style="5" customWidth="1"/>
    <col min="26" max="26" width="6.375" style="5" bestFit="1" customWidth="1"/>
    <col min="27" max="27" width="7" style="5" bestFit="1" customWidth="1"/>
    <col min="28" max="28" width="10.5" style="5" customWidth="1"/>
    <col min="29" max="16384" width="9" style="5"/>
  </cols>
  <sheetData>
    <row r="1" spans="1:29">
      <c r="A1" s="5" t="s">
        <v>18</v>
      </c>
      <c r="B1" s="12"/>
      <c r="I1" s="13"/>
      <c r="J1" s="5"/>
    </row>
    <row r="2" spans="1:29">
      <c r="C2" s="13"/>
      <c r="D2" s="13"/>
      <c r="E2" s="13"/>
      <c r="F2" s="13"/>
      <c r="G2" s="13"/>
      <c r="H2" s="149"/>
      <c r="I2" s="13"/>
      <c r="K2" s="13"/>
      <c r="L2" s="13"/>
      <c r="M2" s="13"/>
      <c r="N2" s="13"/>
      <c r="O2" s="13"/>
      <c r="P2" s="13"/>
      <c r="Q2" s="13"/>
      <c r="R2" s="13"/>
      <c r="S2" s="13"/>
      <c r="T2" s="13" t="s">
        <v>54</v>
      </c>
      <c r="U2" s="5" t="s">
        <v>53</v>
      </c>
    </row>
    <row r="3" spans="1:29" s="45" customFormat="1" ht="37.5">
      <c r="A3" s="45" t="s">
        <v>5</v>
      </c>
      <c r="B3" s="45" t="s">
        <v>2</v>
      </c>
      <c r="C3" s="3" t="s">
        <v>113</v>
      </c>
      <c r="D3" s="3" t="s">
        <v>113</v>
      </c>
      <c r="E3" s="3" t="s">
        <v>120</v>
      </c>
      <c r="F3" s="148" t="s">
        <v>102</v>
      </c>
      <c r="G3" s="148" t="s">
        <v>125</v>
      </c>
      <c r="H3" s="25" t="s">
        <v>121</v>
      </c>
      <c r="I3" s="23" t="s">
        <v>39</v>
      </c>
      <c r="J3" s="23" t="s">
        <v>40</v>
      </c>
      <c r="K3" s="23" t="s">
        <v>38</v>
      </c>
      <c r="L3" s="29" t="s">
        <v>36</v>
      </c>
      <c r="M3" s="23" t="s">
        <v>26</v>
      </c>
      <c r="N3" s="23" t="s">
        <v>66</v>
      </c>
      <c r="O3" s="23" t="s">
        <v>67</v>
      </c>
      <c r="P3" s="23" t="s">
        <v>43</v>
      </c>
      <c r="Q3" s="23" t="s">
        <v>44</v>
      </c>
      <c r="R3" s="3" t="s">
        <v>37</v>
      </c>
      <c r="T3" s="45" t="s">
        <v>3</v>
      </c>
      <c r="U3" s="3" t="s">
        <v>46</v>
      </c>
      <c r="V3" s="4" t="s">
        <v>47</v>
      </c>
      <c r="W3" s="30" t="s">
        <v>48</v>
      </c>
      <c r="X3" s="30" t="s">
        <v>80</v>
      </c>
      <c r="Y3" s="3"/>
      <c r="Z3" s="4"/>
      <c r="AA3" s="30"/>
      <c r="AB3" s="5" t="s">
        <v>50</v>
      </c>
    </row>
    <row r="4" spans="1:29">
      <c r="A4" s="45" t="s">
        <v>4</v>
      </c>
      <c r="B4" s="70" t="str">
        <f>IF(入力画面!C3="","",入力画面!C3)</f>
        <v/>
      </c>
      <c r="C4" s="49" t="str">
        <f>IF(B4="","",IF(B4&lt;6,2,IF(AND(B4&gt;=6,B4&lt;70),3,IF(B4&gt;=75,"-","所得による"))))</f>
        <v/>
      </c>
      <c r="D4" s="49" t="str">
        <f>IF(C4="所得による",IF(P4&gt;=給付デ!D4,3,2),C4)</f>
        <v/>
      </c>
      <c r="E4" s="49" t="str">
        <f>IF(B4&lt;70,"70歳未満",IF(AND(B4&gt;=70,B4&lt;75),"70~75","-"))</f>
        <v>-</v>
      </c>
      <c r="F4" s="80">
        <f>IF(P4&gt;給付デ!$H$5,給付デ!$J$5,IF(AND(P4&gt;給付デ!$H$6,P4&lt;=給付デ!$I$6),給付デ!$J$6,IF(AND(P4&lt;=給付デ!$I$7,P4&gt;給付デ!$H$7),給付デ!$J$7,IF(P4&lt;=給付デ!$I$8,給付デ!$J$8,給付デ!$J$9))))</f>
        <v>57600</v>
      </c>
      <c r="G4" s="80">
        <f>IF(P4&gt;=6900000,給付デ!$J$14,IF(AND(P4&lt;6900000,P4&gt;=3800000),給付デ!$J$15,IF(AND(P4&lt;3800000,P4&gt;=1450000),給付デ!$J$16,IF(P4&lt;1450000,給付デ!$J$17,"P"))))</f>
        <v>57600</v>
      </c>
      <c r="H4" s="150" t="str">
        <f>IF(E4="-","",IF(E4="70歳未満",F4,IF(E4="70~75",G4)))</f>
        <v/>
      </c>
      <c r="I4" s="15">
        <f>入力画面!D3</f>
        <v>0</v>
      </c>
      <c r="J4" s="15">
        <f>入力画面!E3</f>
        <v>0</v>
      </c>
      <c r="K4" s="15">
        <f>入力画面!F3</f>
        <v>0</v>
      </c>
      <c r="L4" s="15">
        <f>入力画面!G3</f>
        <v>0</v>
      </c>
      <c r="M4" s="24">
        <f t="shared" ref="M4:M9" si="0">SUM(I4:J4)</f>
        <v>0</v>
      </c>
      <c r="N4" s="15">
        <f>I4+IF(後デ!$L$1&lt;=J4,J4-後デ!$L$1,0)+K4</f>
        <v>0</v>
      </c>
      <c r="O4" s="15">
        <f t="shared" ref="O4:O9" si="1">IF(N4&lt;0,L4,N4+L4)</f>
        <v>0</v>
      </c>
      <c r="P4" s="15">
        <f t="shared" ref="P4:P9" si="2">SUM(I4:K4)</f>
        <v>0</v>
      </c>
      <c r="Q4" s="15">
        <f>IF(O4&lt;=国デ!$O$2,国デ!$P$2,IF(AND(国デ!$N$3&lt;O4,O4&lt;=国デ!$O$3),国デ!$P$3,IF(AND(国デ!$N$4&lt;O4,O4&lt;=国デ!$O$4),国デ!$P$4,0)))</f>
        <v>430000</v>
      </c>
      <c r="R4" s="16">
        <f t="shared" ref="R4:R9" si="3">IF(P4-Q4&lt;0,0,P4-Q4)</f>
        <v>0</v>
      </c>
      <c r="S4" s="17"/>
      <c r="T4" s="14">
        <f>ROUNDDOWN(R4*後デ!$B$2/100,0)</f>
        <v>0</v>
      </c>
      <c r="U4" s="14" t="str">
        <f>IF(B4="","",後デ!$B$1)</f>
        <v/>
      </c>
      <c r="V4" s="18" t="str">
        <f>IF(B4="","",IF($C$18=後デ!$A$9,U4*後デ!$Q$9,IF($C$18=後デ!$A$10,U4*後デ!$Q$10,IF($C$18=後デ!$A$11,U4*後デ!$Q$11,0))))</f>
        <v/>
      </c>
      <c r="W4" s="31" t="str">
        <f t="shared" ref="W4:W9" si="4">IF(B4="","",U4-V4)</f>
        <v/>
      </c>
      <c r="X4" s="31" t="str">
        <f t="shared" ref="X4:X9" si="5">IF(B4="","",ROUNDDOWN(T4+W4,-2))</f>
        <v/>
      </c>
      <c r="Y4" s="14"/>
      <c r="Z4" s="198"/>
      <c r="AA4" s="199"/>
    </row>
    <row r="5" spans="1:29">
      <c r="A5" s="45" t="s">
        <v>27</v>
      </c>
      <c r="B5" s="70" t="str">
        <f>IF(入力画面!C4="","",入力画面!C4)</f>
        <v/>
      </c>
      <c r="C5" s="49" t="str">
        <f t="shared" ref="C5:C11" si="6">IF(B5="","",IF(B5&lt;6,2,IF(AND(B5&gt;=6,B5&lt;70),3,IF(B5&gt;=75,"-","所得による"))))</f>
        <v/>
      </c>
      <c r="D5" s="49" t="str">
        <f>IF(C5="所得による",IF(P5&gt;=給付デ!D5,3,2),C5)</f>
        <v/>
      </c>
      <c r="E5" s="49" t="str">
        <f t="shared" ref="E5:E11" si="7">IF(B5&lt;70,"70歳未満",IF(AND(B5&gt;=70,B5&lt;75),"70~75","-"))</f>
        <v>-</v>
      </c>
      <c r="F5" s="80">
        <f>IF(P5&gt;給付デ!$H$5,給付デ!$J$5,IF(AND(P5&gt;給付デ!$H$6,P5&lt;=給付デ!$I$6),給付デ!$J$6,IF(AND(P5&lt;=給付デ!$I$7,P5&gt;給付デ!$H$7),給付デ!$J$7,IF(P5&lt;=給付デ!$I$8,給付デ!$J$8,給付デ!$J$9))))</f>
        <v>57600</v>
      </c>
      <c r="G5" s="80">
        <f>IF(P5&gt;=6900000,給付デ!$J$14,IF(AND(P5&lt;6900000,P5&gt;=3800000),給付デ!$J$15,IF(AND(P5&lt;3800000,P5&gt;=1450000),給付デ!$J$16,IF(P5&lt;1450000,給付デ!$J$17,"P"))))</f>
        <v>57600</v>
      </c>
      <c r="H5" s="150" t="str">
        <f t="shared" ref="H5:H9" si="8">IF(E5="-","",IF(E5="70歳未満",F5,IF(E5="70~75",G5)))</f>
        <v/>
      </c>
      <c r="I5" s="15">
        <f>入力画面!D4</f>
        <v>0</v>
      </c>
      <c r="J5" s="15">
        <f>入力画面!E4</f>
        <v>0</v>
      </c>
      <c r="K5" s="15">
        <f>入力画面!F4</f>
        <v>0</v>
      </c>
      <c r="L5" s="15">
        <f>入力画面!G4</f>
        <v>0</v>
      </c>
      <c r="M5" s="24">
        <f t="shared" si="0"/>
        <v>0</v>
      </c>
      <c r="N5" s="15">
        <f>I5+IF(後デ!$L$1&lt;=J5,J5-後デ!$L$1,0)+K5</f>
        <v>0</v>
      </c>
      <c r="O5" s="15">
        <f t="shared" si="1"/>
        <v>0</v>
      </c>
      <c r="P5" s="15">
        <f t="shared" si="2"/>
        <v>0</v>
      </c>
      <c r="Q5" s="15">
        <f>IF(O5&lt;=国デ!$O$2,国デ!$P$2,IF(AND(国デ!$N$3&lt;O5,O5&lt;=国デ!$O$3),国デ!$P$3,IF(AND(国デ!$N$4&lt;O5,O5&lt;=国デ!$O$4),国デ!$P$4,0)))</f>
        <v>430000</v>
      </c>
      <c r="R5" s="16">
        <f t="shared" si="3"/>
        <v>0</v>
      </c>
      <c r="S5" s="17"/>
      <c r="T5" s="14">
        <f>ROUNDDOWN(R5*後デ!$B$2/100,0)</f>
        <v>0</v>
      </c>
      <c r="U5" s="14" t="str">
        <f>IF(B5="","",後デ!$B$1)</f>
        <v/>
      </c>
      <c r="V5" s="18" t="str">
        <f>IF(B5="","",IF($C$18=後デ!$A$9,U5*後デ!$Q$9,IF($C$18=後デ!$A$10,U5*後デ!$Q$10,IF($C$18=後デ!$A$11,U5*後デ!$Q$11,0))))</f>
        <v/>
      </c>
      <c r="W5" s="31" t="str">
        <f t="shared" si="4"/>
        <v/>
      </c>
      <c r="X5" s="31" t="str">
        <f t="shared" si="5"/>
        <v/>
      </c>
      <c r="Y5" s="14"/>
      <c r="Z5" s="198"/>
      <c r="AA5" s="199"/>
    </row>
    <row r="6" spans="1:29">
      <c r="A6" s="45" t="s">
        <v>28</v>
      </c>
      <c r="B6" s="70" t="str">
        <f>IF(入力画面!C5="","",入力画面!C5)</f>
        <v/>
      </c>
      <c r="C6" s="49" t="str">
        <f t="shared" si="6"/>
        <v/>
      </c>
      <c r="D6" s="49" t="str">
        <f>IF(C6="所得による",IF(P6&gt;=給付デ!D6,3,2),C6)</f>
        <v/>
      </c>
      <c r="E6" s="49" t="str">
        <f t="shared" si="7"/>
        <v>-</v>
      </c>
      <c r="F6" s="80">
        <f>IF(P6&gt;給付デ!$H$5,給付デ!$J$5,IF(AND(P6&gt;給付デ!$H$6,P6&lt;=給付デ!$I$6),給付デ!$J$6,IF(AND(P6&lt;=給付デ!$I$7,P6&gt;給付デ!$H$7),給付デ!$J$7,IF(P6&lt;=給付デ!$I$8,給付デ!$J$8,給付デ!$J$9))))</f>
        <v>57600</v>
      </c>
      <c r="G6" s="80">
        <f>IF(P6&gt;=6900000,給付デ!$J$14,IF(AND(P6&lt;6900000,P6&gt;=3800000),給付デ!$J$15,IF(AND(P6&lt;3800000,P6&gt;=1450000),給付デ!$J$16,IF(P6&lt;1450000,給付デ!$J$17,"P"))))</f>
        <v>57600</v>
      </c>
      <c r="H6" s="150" t="str">
        <f t="shared" si="8"/>
        <v/>
      </c>
      <c r="I6" s="15">
        <f>入力画面!D5</f>
        <v>0</v>
      </c>
      <c r="J6" s="15">
        <f>入力画面!E5</f>
        <v>0</v>
      </c>
      <c r="K6" s="15">
        <f>入力画面!F5</f>
        <v>0</v>
      </c>
      <c r="L6" s="15">
        <f>入力画面!G5</f>
        <v>0</v>
      </c>
      <c r="M6" s="24">
        <f t="shared" si="0"/>
        <v>0</v>
      </c>
      <c r="N6" s="15">
        <f>I6+IF(後デ!$L$1&lt;=J6,J6-後デ!$L$1,0)+K6</f>
        <v>0</v>
      </c>
      <c r="O6" s="15">
        <f t="shared" si="1"/>
        <v>0</v>
      </c>
      <c r="P6" s="15">
        <f t="shared" si="2"/>
        <v>0</v>
      </c>
      <c r="Q6" s="15">
        <f>IF(O6&lt;=国デ!$O$2,国デ!$P$2,IF(AND(国デ!$N$3&lt;O6,O6&lt;=国デ!$O$3),国デ!$P$3,IF(AND(国デ!$N$4&lt;O6,O6&lt;=国デ!$O$4),国デ!$P$4,0)))</f>
        <v>430000</v>
      </c>
      <c r="R6" s="16">
        <f t="shared" si="3"/>
        <v>0</v>
      </c>
      <c r="S6" s="17"/>
      <c r="T6" s="14">
        <f>ROUNDDOWN(R6*後デ!$B$2/100,0)</f>
        <v>0</v>
      </c>
      <c r="U6" s="14" t="str">
        <f>IF(B6="","",後デ!$B$1)</f>
        <v/>
      </c>
      <c r="V6" s="18" t="str">
        <f>IF(B6="","",IF($C$18=後デ!$A$9,U6*後デ!$Q$9,IF($C$18=後デ!$A$10,U6*後デ!$Q$10,IF($C$18=後デ!$A$11,U6*後デ!$Q$11,0))))</f>
        <v/>
      </c>
      <c r="W6" s="31" t="str">
        <f t="shared" si="4"/>
        <v/>
      </c>
      <c r="X6" s="31" t="str">
        <f t="shared" si="5"/>
        <v/>
      </c>
      <c r="Y6" s="14"/>
      <c r="Z6" s="198"/>
      <c r="AA6" s="199"/>
    </row>
    <row r="7" spans="1:29">
      <c r="A7" s="45" t="s">
        <v>29</v>
      </c>
      <c r="B7" s="70" t="str">
        <f>IF(入力画面!C6="","",入力画面!C6)</f>
        <v/>
      </c>
      <c r="C7" s="49" t="str">
        <f t="shared" si="6"/>
        <v/>
      </c>
      <c r="D7" s="49" t="str">
        <f>IF(C7="所得による",IF(P7&gt;=給付デ!D7,3,2),C7)</f>
        <v/>
      </c>
      <c r="E7" s="49" t="str">
        <f t="shared" si="7"/>
        <v>-</v>
      </c>
      <c r="F7" s="80">
        <f>IF(P7&gt;給付デ!$H$5,給付デ!$J$5,IF(AND(P7&gt;給付デ!$H$6,P7&lt;=給付デ!$I$6),給付デ!$J$6,IF(AND(P7&lt;=給付デ!$I$7,P7&gt;給付デ!$H$7),給付デ!$J$7,IF(P7&lt;=給付デ!$I$8,給付デ!$J$8,給付デ!$J$9))))</f>
        <v>57600</v>
      </c>
      <c r="G7" s="80">
        <f>IF(P7&gt;=6900000,給付デ!$J$14,IF(AND(P7&lt;6900000,P7&gt;=3800000),給付デ!$J$15,IF(AND(P7&lt;3800000,P7&gt;=1450000),給付デ!$J$16,IF(P7&lt;1450000,給付デ!$J$17,"P"))))</f>
        <v>57600</v>
      </c>
      <c r="H7" s="150" t="str">
        <f t="shared" si="8"/>
        <v/>
      </c>
      <c r="I7" s="15">
        <f>入力画面!D6</f>
        <v>0</v>
      </c>
      <c r="J7" s="15">
        <f>入力画面!E6</f>
        <v>0</v>
      </c>
      <c r="K7" s="15">
        <f>入力画面!F6</f>
        <v>0</v>
      </c>
      <c r="L7" s="15">
        <f>入力画面!G6</f>
        <v>0</v>
      </c>
      <c r="M7" s="24">
        <f t="shared" si="0"/>
        <v>0</v>
      </c>
      <c r="N7" s="15">
        <f>I7+IF(後デ!$L$1&lt;=J7,J7-後デ!$L$1,0)+K7</f>
        <v>0</v>
      </c>
      <c r="O7" s="15">
        <f t="shared" si="1"/>
        <v>0</v>
      </c>
      <c r="P7" s="15">
        <f t="shared" si="2"/>
        <v>0</v>
      </c>
      <c r="Q7" s="15">
        <f>IF(O7&lt;=国デ!$O$2,国デ!$P$2,IF(AND(国デ!$N$3&lt;O7,O7&lt;=国デ!$O$3),国デ!$P$3,IF(AND(国デ!$N$4&lt;O7,O7&lt;=国デ!$O$4),国デ!$P$4,0)))</f>
        <v>430000</v>
      </c>
      <c r="R7" s="16">
        <f t="shared" si="3"/>
        <v>0</v>
      </c>
      <c r="S7" s="17"/>
      <c r="T7" s="14">
        <f>ROUNDDOWN(R7*後デ!$B$2/100,0)</f>
        <v>0</v>
      </c>
      <c r="U7" s="14" t="str">
        <f>IF(B7="","",後デ!$B$1)</f>
        <v/>
      </c>
      <c r="V7" s="18" t="str">
        <f>IF(B7="","",IF($C$18=後デ!$A$9,U7*後デ!$Q$9,IF($C$18=後デ!$A$10,U7*後デ!$Q$10,IF($C$18=後デ!$A$11,U7*後デ!$Q$11,0))))</f>
        <v/>
      </c>
      <c r="W7" s="31" t="str">
        <f t="shared" si="4"/>
        <v/>
      </c>
      <c r="X7" s="31" t="str">
        <f t="shared" si="5"/>
        <v/>
      </c>
      <c r="Y7" s="14"/>
      <c r="Z7" s="198"/>
      <c r="AA7" s="199"/>
    </row>
    <row r="8" spans="1:29">
      <c r="A8" s="45" t="s">
        <v>30</v>
      </c>
      <c r="B8" s="70" t="str">
        <f>IF(入力画面!C7="","",入力画面!C7)</f>
        <v/>
      </c>
      <c r="C8" s="49" t="str">
        <f t="shared" si="6"/>
        <v/>
      </c>
      <c r="D8" s="49" t="str">
        <f>IF(C8="所得による",IF(P8&gt;=給付デ!D8,3,2),C8)</f>
        <v/>
      </c>
      <c r="E8" s="49" t="str">
        <f t="shared" si="7"/>
        <v>-</v>
      </c>
      <c r="F8" s="80">
        <f>IF(P8&gt;給付デ!$H$5,給付デ!$J$5,IF(AND(P8&gt;給付デ!$H$6,P8&lt;=給付デ!$I$6),給付デ!$J$6,IF(AND(P8&lt;=給付デ!$I$7,P8&gt;給付デ!$H$7),給付デ!$J$7,IF(P8&lt;=給付デ!$I$8,給付デ!$J$8,給付デ!$J$9))))</f>
        <v>57600</v>
      </c>
      <c r="G8" s="80">
        <f>IF(P8&gt;=6900000,給付デ!$J$14,IF(AND(P8&lt;6900000,P8&gt;=3800000),給付デ!$J$15,IF(AND(P8&lt;3800000,P8&gt;=1450000),給付デ!$J$16,IF(P8&lt;1450000,給付デ!$J$17,"P"))))</f>
        <v>57600</v>
      </c>
      <c r="H8" s="150" t="str">
        <f t="shared" si="8"/>
        <v/>
      </c>
      <c r="I8" s="15">
        <f>入力画面!D7</f>
        <v>0</v>
      </c>
      <c r="J8" s="15">
        <f>入力画面!E7</f>
        <v>0</v>
      </c>
      <c r="K8" s="15">
        <f>入力画面!F7</f>
        <v>0</v>
      </c>
      <c r="L8" s="15">
        <f>入力画面!G7</f>
        <v>0</v>
      </c>
      <c r="M8" s="24">
        <f t="shared" si="0"/>
        <v>0</v>
      </c>
      <c r="N8" s="15">
        <f>I8+IF(後デ!$L$1&lt;=J8,J8-後デ!$L$1,0)+K8</f>
        <v>0</v>
      </c>
      <c r="O8" s="15">
        <f t="shared" si="1"/>
        <v>0</v>
      </c>
      <c r="P8" s="15">
        <f t="shared" si="2"/>
        <v>0</v>
      </c>
      <c r="Q8" s="15">
        <f>IF(O8&lt;=国デ!$O$2,国デ!$P$2,IF(AND(国デ!$N$3&lt;O8,O8&lt;=国デ!$O$3),国デ!$P$3,IF(AND(国デ!$N$4&lt;O8,O8&lt;=国デ!$O$4),国デ!$P$4,0)))</f>
        <v>430000</v>
      </c>
      <c r="R8" s="16">
        <f t="shared" si="3"/>
        <v>0</v>
      </c>
      <c r="S8" s="17"/>
      <c r="T8" s="14">
        <f>ROUNDDOWN(R8*後デ!$B$2/100,0)</f>
        <v>0</v>
      </c>
      <c r="U8" s="14" t="str">
        <f>IF(B8="","",後デ!$B$1)</f>
        <v/>
      </c>
      <c r="V8" s="18" t="str">
        <f>IF(B8="","",IF($C$18=後デ!$A$9,U8*後デ!$Q$9,IF($C$18=後デ!$A$10,U8*後デ!$Q$10,IF($C$18=後デ!$A$11,U8*後デ!$Q$11,0))))</f>
        <v/>
      </c>
      <c r="W8" s="31" t="str">
        <f t="shared" si="4"/>
        <v/>
      </c>
      <c r="X8" s="31" t="str">
        <f t="shared" si="5"/>
        <v/>
      </c>
      <c r="Y8" s="14"/>
      <c r="Z8" s="198"/>
      <c r="AA8" s="199"/>
    </row>
    <row r="9" spans="1:29">
      <c r="A9" s="45" t="s">
        <v>31</v>
      </c>
      <c r="B9" s="70" t="str">
        <f>IF(入力画面!C8="","",入力画面!C8)</f>
        <v/>
      </c>
      <c r="C9" s="49" t="str">
        <f t="shared" si="6"/>
        <v/>
      </c>
      <c r="D9" s="49" t="str">
        <f>IF(C9="所得による",IF(P9&gt;=給付デ!D9,3,2),C9)</f>
        <v/>
      </c>
      <c r="E9" s="49" t="str">
        <f t="shared" si="7"/>
        <v>-</v>
      </c>
      <c r="F9" s="80">
        <f>IF(P9&gt;給付デ!$H$5,給付デ!$J$5,IF(AND(P9&gt;給付デ!$H$6,P9&lt;=給付デ!$I$6),給付デ!$J$6,IF(AND(P9&lt;=給付デ!$I$7,P9&gt;給付デ!$H$7),給付デ!$J$7,IF(P9&lt;=給付デ!$I$8,給付デ!$J$8,給付デ!$J$9))))</f>
        <v>57600</v>
      </c>
      <c r="G9" s="80">
        <f>IF(P9&gt;=6900000,給付デ!$J$14,IF(AND(P9&lt;6900000,P9&gt;=3800000),給付デ!$J$15,IF(AND(P9&lt;3800000,P9&gt;=1450000),給付デ!$J$16,IF(P9&lt;1450000,給付デ!$J$17,"P"))))</f>
        <v>57600</v>
      </c>
      <c r="H9" s="150" t="str">
        <f t="shared" si="8"/>
        <v/>
      </c>
      <c r="I9" s="15">
        <f>入力画面!D8</f>
        <v>0</v>
      </c>
      <c r="J9" s="15">
        <f>入力画面!E8</f>
        <v>0</v>
      </c>
      <c r="K9" s="15">
        <f>入力画面!F8</f>
        <v>0</v>
      </c>
      <c r="L9" s="15">
        <f>入力画面!G8</f>
        <v>0</v>
      </c>
      <c r="M9" s="24">
        <f t="shared" si="0"/>
        <v>0</v>
      </c>
      <c r="N9" s="15">
        <f>I9+IF(後デ!$L$1&lt;=J9,J9-後デ!$L$1,0)+K9</f>
        <v>0</v>
      </c>
      <c r="O9" s="15">
        <f t="shared" si="1"/>
        <v>0</v>
      </c>
      <c r="P9" s="15">
        <f t="shared" si="2"/>
        <v>0</v>
      </c>
      <c r="Q9" s="15">
        <f>IF(O9&lt;=国デ!$O$2,国デ!$P$2,IF(AND(国デ!$N$3&lt;O9,O9&lt;=国デ!$O$3),国デ!$P$3,IF(AND(国デ!$N$4&lt;O9,O9&lt;=国デ!$O$4),国デ!$P$4,0)))</f>
        <v>430000</v>
      </c>
      <c r="R9" s="16">
        <f t="shared" si="3"/>
        <v>0</v>
      </c>
      <c r="S9" s="17"/>
      <c r="T9" s="14">
        <f>ROUNDDOWN(R9*後デ!$B$2/100,0)</f>
        <v>0</v>
      </c>
      <c r="U9" s="14" t="str">
        <f>IF(B9="","",後デ!$B$1)</f>
        <v/>
      </c>
      <c r="V9" s="18" t="str">
        <f>IF(B9="","",IF($C$18=後デ!$A$9,U9*後デ!$Q$9,IF($C$18=後デ!$A$10,U9*後デ!$Q$10,IF($C$18=後デ!$A$11,U9*後デ!$Q$11,0))))</f>
        <v/>
      </c>
      <c r="W9" s="31" t="str">
        <f t="shared" si="4"/>
        <v/>
      </c>
      <c r="X9" s="31" t="str">
        <f t="shared" si="5"/>
        <v/>
      </c>
      <c r="Y9" s="14"/>
      <c r="Z9" s="198"/>
      <c r="AA9" s="199"/>
    </row>
    <row r="10" spans="1:29">
      <c r="C10" s="49"/>
      <c r="D10" s="49"/>
      <c r="E10" s="49"/>
      <c r="F10" s="147"/>
      <c r="G10" s="147"/>
      <c r="H10" s="150"/>
      <c r="I10" s="15"/>
      <c r="J10" s="15"/>
      <c r="K10" s="71"/>
      <c r="L10" s="71"/>
      <c r="P10" s="14"/>
      <c r="Q10" s="14"/>
      <c r="S10" s="17"/>
      <c r="U10" s="14"/>
      <c r="V10" s="18"/>
      <c r="W10" s="31"/>
      <c r="X10" s="43"/>
      <c r="Y10" s="50"/>
      <c r="Z10" s="51"/>
      <c r="AA10" s="43"/>
      <c r="AB10" s="44">
        <f>T13+X10+AA10</f>
        <v>0</v>
      </c>
      <c r="AC10" s="45" t="s">
        <v>57</v>
      </c>
    </row>
    <row r="11" spans="1:29">
      <c r="A11" s="3" t="s">
        <v>20</v>
      </c>
      <c r="B11" s="70" t="str">
        <f>IF(入力画面!C10="","",入力画面!C10)</f>
        <v/>
      </c>
      <c r="C11" s="49" t="str">
        <f t="shared" si="6"/>
        <v/>
      </c>
      <c r="D11" s="49" t="str">
        <f>IF(C11="所得による",IF(P11&gt;=給付デ!D11,3,2),C11)</f>
        <v/>
      </c>
      <c r="E11" s="49" t="str">
        <f t="shared" si="7"/>
        <v>-</v>
      </c>
      <c r="F11" s="80">
        <f>IF(P11&gt;給付デ!$H$5,給付デ!$J$5,IF(AND(P11&gt;給付デ!$H$6,P11&lt;=給付デ!$I$6),給付デ!$J$6,IF(AND(P11&lt;=給付デ!$I$7,P11&gt;給付デ!$H$7),給付デ!$J$7,IF(P11&lt;=給付デ!$I$8,給付デ!$J$8,給付デ!$J$9))))</f>
        <v>57600</v>
      </c>
      <c r="G11" s="80">
        <f>IF(P11&gt;=6900000,給付デ!$J$14,IF(AND(P11&lt;6900000,P11&gt;=3800000),給付デ!$J$15,IF(AND(P11&lt;3800000,P11&gt;=1450000),給付デ!$J$16,IF(P11&lt;1450000,給付デ!$J$17,"P"))))</f>
        <v>57600</v>
      </c>
      <c r="H11" s="150"/>
      <c r="I11" s="15">
        <f>入力画面!D10</f>
        <v>0</v>
      </c>
      <c r="J11" s="15">
        <f>入力画面!E10</f>
        <v>0</v>
      </c>
      <c r="K11" s="80">
        <f>入力画面!F10</f>
        <v>0</v>
      </c>
      <c r="L11" s="15">
        <f>入力画面!G10</f>
        <v>0</v>
      </c>
      <c r="M11" s="24">
        <f>SUM(I11:J11)</f>
        <v>0</v>
      </c>
      <c r="N11" s="15">
        <f>I11+IF(後デ!$L$1&lt;=J11,J11-後デ!$L$1,0)+K11</f>
        <v>0</v>
      </c>
      <c r="O11" s="15">
        <f>IF(N11&lt;0,L11,N11+L11)</f>
        <v>0</v>
      </c>
      <c r="P11" s="15">
        <f t="shared" ref="P11" si="9">SUM(I11:K11)</f>
        <v>0</v>
      </c>
      <c r="Q11" s="15">
        <f>IF(O11&lt;=国デ!$O$2,国デ!$P$2,IF(AND(国デ!$N$3&lt;O11,O11&lt;=国デ!$O$3),国デ!$P$3,IF(AND(国デ!$N$4&lt;O11,O11&lt;=国デ!$O$4),国デ!$P$4,0)))</f>
        <v>430000</v>
      </c>
      <c r="R11" s="16">
        <f>IF(P11-Q11&lt;0,0,P11-Q11)</f>
        <v>0</v>
      </c>
      <c r="S11" s="17"/>
      <c r="T11" s="14">
        <f>ROUNDDOWN(R11*後デ!$B$2/100,0)</f>
        <v>0</v>
      </c>
      <c r="U11" s="14" t="str">
        <f>IF(B11="","",後デ!$B$1)</f>
        <v/>
      </c>
      <c r="V11" s="18" t="str">
        <f>IF(B11="","",IF($C$18=後デ!$A$9,U11*後デ!$Q$9,IF($C$18=後デ!$A$10,U11*後デ!$Q$10,IF($C$18=後デ!$A$11,U11*後デ!$Q$11,0))))</f>
        <v/>
      </c>
      <c r="W11" s="31" t="str">
        <f>IF(B11="","",U11-V11)</f>
        <v/>
      </c>
      <c r="X11" s="31" t="str">
        <f>IF(B11="","",ROUNDDOWN(T11+W11,-2))</f>
        <v/>
      </c>
      <c r="Y11" s="34"/>
      <c r="Z11" s="33"/>
      <c r="AA11" s="34"/>
      <c r="AB11" s="78">
        <f>ROUNDDOWN(AB10,-2)</f>
        <v>0</v>
      </c>
      <c r="AC11" s="103">
        <f>IF(AB11&gt;国デ!F2,国デ!F2,AB11)</f>
        <v>0</v>
      </c>
    </row>
    <row r="12" spans="1:29">
      <c r="A12" s="27" t="s">
        <v>17</v>
      </c>
      <c r="B12" s="70">
        <f>COUNTIF(B4:B11,"&gt;=0")</f>
        <v>0</v>
      </c>
      <c r="I12" s="13"/>
      <c r="J12" s="5"/>
      <c r="M12" s="11">
        <f>COUNTIF(M4:M11,"&gt;0")</f>
        <v>0</v>
      </c>
      <c r="N12" s="14"/>
      <c r="O12" s="14">
        <f>SUM(O4:O11)</f>
        <v>0</v>
      </c>
      <c r="S12" s="104"/>
      <c r="T12" s="104"/>
      <c r="U12" s="68"/>
      <c r="V12" s="68"/>
      <c r="W12" s="68"/>
      <c r="X12" s="68"/>
      <c r="Y12" s="68"/>
      <c r="Z12" s="68"/>
      <c r="AA12" s="68"/>
      <c r="AB12" s="68"/>
      <c r="AC12" s="68"/>
    </row>
    <row r="13" spans="1:29">
      <c r="C13" s="45" t="s">
        <v>7</v>
      </c>
      <c r="R13" s="13"/>
      <c r="S13" s="69"/>
      <c r="T13" s="43">
        <f>SUM(T4:T9)</f>
        <v>0</v>
      </c>
      <c r="U13" s="105"/>
      <c r="V13" s="106"/>
      <c r="W13" s="107"/>
      <c r="X13" s="107"/>
      <c r="Y13" s="105"/>
      <c r="Z13" s="106"/>
      <c r="AA13" s="107"/>
      <c r="AB13" s="68"/>
      <c r="AC13" s="68"/>
    </row>
    <row r="14" spans="1:29">
      <c r="B14" s="19" t="s">
        <v>25</v>
      </c>
      <c r="C14" s="20">
        <f>O12</f>
        <v>0</v>
      </c>
      <c r="D14" s="20"/>
      <c r="E14" s="20"/>
      <c r="H14" s="151"/>
      <c r="S14" s="108"/>
      <c r="T14" s="109"/>
      <c r="U14" s="109"/>
      <c r="V14" s="110"/>
      <c r="W14" s="111"/>
      <c r="X14" s="111"/>
      <c r="Y14" s="109"/>
      <c r="Z14" s="110"/>
      <c r="AA14" s="109"/>
      <c r="AB14" s="68"/>
      <c r="AC14" s="68"/>
    </row>
    <row r="15" spans="1:29">
      <c r="B15" s="50" t="str">
        <f>国デ!Q8*10&amp;"割ライン"</f>
        <v>7割ライン</v>
      </c>
      <c r="C15" s="14">
        <f>後デ!B9+後デ!H9*(IF(M12&gt;1,M12,1)-1)</f>
        <v>430000</v>
      </c>
      <c r="D15" s="14"/>
      <c r="E15" s="14"/>
      <c r="H15" s="147"/>
      <c r="S15" s="108"/>
      <c r="T15" s="109"/>
      <c r="U15" s="109"/>
      <c r="V15" s="110"/>
      <c r="W15" s="111"/>
      <c r="X15" s="111"/>
      <c r="Y15" s="109"/>
      <c r="Z15" s="110"/>
      <c r="AA15" s="109"/>
      <c r="AB15" s="68"/>
      <c r="AC15" s="68"/>
    </row>
    <row r="16" spans="1:29">
      <c r="B16" s="50" t="str">
        <f>国デ!Q9*10&amp;"割ライン"</f>
        <v>5割ライン</v>
      </c>
      <c r="C16" s="14">
        <f>後デ!B10+後デ!D10*B12+後デ!H10*(IF(M12&gt;1,M12,1)-1)</f>
        <v>430000</v>
      </c>
      <c r="D16" s="14"/>
      <c r="E16" s="14"/>
      <c r="H16" s="147"/>
      <c r="S16" s="108"/>
      <c r="T16" s="109"/>
      <c r="U16" s="109"/>
      <c r="V16" s="110"/>
      <c r="W16" s="111"/>
      <c r="X16" s="111"/>
      <c r="Y16" s="109"/>
      <c r="Z16" s="110"/>
      <c r="AA16" s="109"/>
      <c r="AB16" s="68"/>
      <c r="AC16" s="68"/>
    </row>
    <row r="17" spans="2:29">
      <c r="B17" s="50" t="str">
        <f>国デ!Q10*10&amp;"割ライン"</f>
        <v>2割ライン</v>
      </c>
      <c r="C17" s="14">
        <f>後デ!B11+後デ!D11*B12+後デ!H11*(IF(M12&gt;1,M12,1)-1)</f>
        <v>430000</v>
      </c>
      <c r="D17" s="14"/>
      <c r="E17" s="14"/>
      <c r="H17" s="147"/>
      <c r="S17" s="108"/>
      <c r="T17" s="109"/>
      <c r="U17" s="109"/>
      <c r="V17" s="110"/>
      <c r="W17" s="111"/>
      <c r="X17" s="111"/>
      <c r="Y17" s="109"/>
      <c r="Z17" s="110"/>
      <c r="AA17" s="109"/>
      <c r="AB17" s="68"/>
      <c r="AC17" s="68"/>
    </row>
    <row r="18" spans="2:29">
      <c r="C18" s="11" t="str">
        <f>IF(C14=0,"",IF(C14&lt;=C15,国デ!A8,IF(C14&lt;=C16,国デ!A9,IF(C14&lt;=C17,国デ!A10,"軽減なし"))))</f>
        <v/>
      </c>
      <c r="D18" s="11"/>
      <c r="E18" s="11"/>
      <c r="H18" s="152"/>
      <c r="S18" s="108"/>
      <c r="T18" s="109"/>
      <c r="U18" s="109"/>
      <c r="V18" s="110"/>
      <c r="W18" s="111"/>
      <c r="X18" s="111"/>
      <c r="Y18" s="109"/>
      <c r="Z18" s="110"/>
      <c r="AA18" s="109"/>
      <c r="AB18" s="68"/>
      <c r="AC18" s="68"/>
    </row>
    <row r="19" spans="2:29">
      <c r="S19" s="108"/>
      <c r="T19" s="109"/>
      <c r="U19" s="109"/>
      <c r="V19" s="110"/>
      <c r="W19" s="111"/>
      <c r="X19" s="111"/>
      <c r="Y19" s="109"/>
      <c r="Z19" s="110"/>
      <c r="AA19" s="109"/>
      <c r="AB19" s="68"/>
      <c r="AC19" s="68"/>
    </row>
    <row r="20" spans="2:29">
      <c r="S20" s="108"/>
      <c r="T20" s="112"/>
      <c r="U20" s="109"/>
      <c r="V20" s="110"/>
      <c r="W20" s="111"/>
      <c r="X20" s="112"/>
      <c r="Y20" s="113"/>
      <c r="Z20" s="114"/>
      <c r="AA20" s="112"/>
      <c r="AB20" s="102"/>
      <c r="AC20" s="115"/>
    </row>
    <row r="21" spans="2:29">
      <c r="S21" s="68"/>
      <c r="T21" s="68"/>
      <c r="U21" s="68"/>
      <c r="V21" s="68"/>
      <c r="W21" s="68"/>
      <c r="X21" s="68"/>
      <c r="Y21" s="68"/>
      <c r="Z21" s="68"/>
      <c r="AA21" s="101"/>
      <c r="AB21" s="102"/>
      <c r="AC21" s="112"/>
    </row>
    <row r="22" spans="2:29">
      <c r="S22" s="116"/>
      <c r="T22" s="104"/>
      <c r="U22" s="68"/>
      <c r="V22" s="68"/>
      <c r="W22" s="68"/>
      <c r="X22" s="68"/>
      <c r="Y22" s="68"/>
      <c r="Z22" s="68"/>
      <c r="AA22" s="68"/>
      <c r="AB22" s="117"/>
      <c r="AC22" s="68"/>
    </row>
    <row r="23" spans="2:29">
      <c r="S23" s="118"/>
      <c r="T23" s="118"/>
      <c r="U23" s="119"/>
      <c r="V23" s="120"/>
      <c r="W23" s="124"/>
      <c r="X23" s="124"/>
      <c r="Y23" s="119"/>
      <c r="Z23" s="120"/>
      <c r="AA23" s="119"/>
      <c r="AB23" s="117"/>
      <c r="AC23" s="68"/>
    </row>
    <row r="24" spans="2:29">
      <c r="S24" s="121"/>
      <c r="T24" s="111"/>
      <c r="U24" s="111"/>
      <c r="V24" s="122"/>
      <c r="W24" s="111"/>
      <c r="X24" s="111"/>
      <c r="Y24" s="111"/>
      <c r="Z24" s="122"/>
      <c r="AA24" s="111"/>
      <c r="AB24" s="117"/>
      <c r="AC24" s="68"/>
    </row>
    <row r="25" spans="2:29">
      <c r="S25" s="121"/>
      <c r="T25" s="111"/>
      <c r="U25" s="111"/>
      <c r="V25" s="122"/>
      <c r="W25" s="111"/>
      <c r="X25" s="111"/>
      <c r="Y25" s="111"/>
      <c r="Z25" s="122"/>
      <c r="AA25" s="111"/>
      <c r="AB25" s="117"/>
      <c r="AC25" s="68"/>
    </row>
    <row r="26" spans="2:29">
      <c r="S26" s="121"/>
      <c r="T26" s="111"/>
      <c r="U26" s="111"/>
      <c r="V26" s="122"/>
      <c r="W26" s="111"/>
      <c r="X26" s="111"/>
      <c r="Y26" s="111"/>
      <c r="Z26" s="122"/>
      <c r="AA26" s="111"/>
      <c r="AB26" s="117"/>
      <c r="AC26" s="68"/>
    </row>
    <row r="27" spans="2:29">
      <c r="S27" s="121"/>
      <c r="T27" s="111"/>
      <c r="U27" s="111"/>
      <c r="V27" s="122"/>
      <c r="W27" s="111"/>
      <c r="X27" s="111"/>
      <c r="Y27" s="111"/>
      <c r="Z27" s="122"/>
      <c r="AA27" s="111"/>
      <c r="AB27" s="117"/>
      <c r="AC27" s="68"/>
    </row>
    <row r="28" spans="2:29">
      <c r="S28" s="121"/>
      <c r="T28" s="111"/>
      <c r="U28" s="111"/>
      <c r="V28" s="122"/>
      <c r="W28" s="111"/>
      <c r="X28" s="111"/>
      <c r="Y28" s="111"/>
      <c r="Z28" s="122"/>
      <c r="AA28" s="111"/>
      <c r="AB28" s="117"/>
      <c r="AC28" s="68"/>
    </row>
    <row r="29" spans="2:29">
      <c r="S29" s="121"/>
      <c r="T29" s="111"/>
      <c r="U29" s="111"/>
      <c r="V29" s="122"/>
      <c r="W29" s="111"/>
      <c r="X29" s="111"/>
      <c r="Y29" s="111"/>
      <c r="Z29" s="122"/>
      <c r="AA29" s="111"/>
      <c r="AB29" s="117"/>
      <c r="AC29" s="68"/>
    </row>
    <row r="30" spans="2:29">
      <c r="S30" s="68"/>
      <c r="T30" s="112"/>
      <c r="U30" s="109"/>
      <c r="V30" s="110"/>
      <c r="W30" s="111"/>
      <c r="X30" s="112"/>
      <c r="Y30" s="113"/>
      <c r="Z30" s="114"/>
      <c r="AA30" s="112"/>
      <c r="AB30" s="102"/>
      <c r="AC30" s="115"/>
    </row>
    <row r="31" spans="2:29">
      <c r="S31" s="68"/>
      <c r="T31" s="68"/>
      <c r="U31" s="68"/>
      <c r="V31" s="68"/>
      <c r="W31" s="68"/>
      <c r="X31" s="68"/>
      <c r="Y31" s="68"/>
      <c r="Z31" s="68"/>
      <c r="AA31" s="101"/>
      <c r="AB31" s="102"/>
      <c r="AC31" s="112"/>
    </row>
    <row r="32" spans="2:29">
      <c r="S32" s="68"/>
      <c r="T32" s="68"/>
      <c r="U32" s="68"/>
      <c r="V32" s="68"/>
      <c r="W32" s="68"/>
      <c r="X32" s="68"/>
      <c r="Y32" s="68"/>
      <c r="Z32" s="68"/>
      <c r="AA32" s="68"/>
      <c r="AB32" s="68"/>
      <c r="AC32" s="68"/>
    </row>
    <row r="33" spans="19:29">
      <c r="S33" s="68"/>
      <c r="T33" s="102"/>
      <c r="U33" s="68"/>
      <c r="V33" s="68"/>
      <c r="W33" s="68"/>
      <c r="X33" s="102"/>
      <c r="Y33" s="68"/>
      <c r="Z33" s="68"/>
      <c r="AA33" s="123"/>
      <c r="AB33" s="102"/>
      <c r="AC33" s="68"/>
    </row>
    <row r="34" spans="19:29">
      <c r="S34" s="68"/>
      <c r="T34" s="68"/>
      <c r="U34" s="68"/>
      <c r="V34" s="68"/>
      <c r="W34" s="68"/>
      <c r="X34" s="68"/>
      <c r="Y34" s="68"/>
      <c r="Z34" s="68"/>
      <c r="AA34" s="68"/>
      <c r="AB34" s="68"/>
      <c r="AC34" s="68"/>
    </row>
  </sheetData>
  <mergeCells count="2">
    <mergeCell ref="Z4:Z9"/>
    <mergeCell ref="AA4:AA9"/>
  </mergeCells>
  <phoneticPr fontId="1"/>
  <pageMargins left="0.7" right="0.7" top="0.75" bottom="0.75" header="0.3" footer="0.3"/>
  <pageSetup paperSize="9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12"/>
  <sheetViews>
    <sheetView workbookViewId="0">
      <selection activeCell="A15" sqref="A15:D16"/>
    </sheetView>
  </sheetViews>
  <sheetFormatPr defaultRowHeight="18.75"/>
  <cols>
    <col min="1" max="1" width="13" style="2" bestFit="1" customWidth="1"/>
    <col min="2" max="2" width="12.625" style="2" bestFit="1" customWidth="1"/>
    <col min="3" max="4" width="9" style="2"/>
    <col min="5" max="5" width="3.375" style="2" bestFit="1" customWidth="1"/>
    <col min="6" max="6" width="9" style="2"/>
    <col min="7" max="7" width="2.875" style="2" bestFit="1" customWidth="1"/>
    <col min="8" max="8" width="9" style="2"/>
    <col min="9" max="9" width="5.25" style="2" bestFit="1" customWidth="1"/>
    <col min="10" max="10" width="9" style="2"/>
    <col min="11" max="11" width="2.375" style="2" bestFit="1" customWidth="1"/>
    <col min="12" max="12" width="2.5" style="2" bestFit="1" customWidth="1"/>
    <col min="13" max="13" width="3.375" style="2" bestFit="1" customWidth="1"/>
    <col min="14" max="15" width="10.5" style="2" customWidth="1"/>
    <col min="16" max="16384" width="9" style="2"/>
  </cols>
  <sheetData>
    <row r="1" spans="1:18" ht="18.75" customHeight="1">
      <c r="A1" s="10" t="s">
        <v>19</v>
      </c>
      <c r="B1" s="2" t="s">
        <v>9</v>
      </c>
      <c r="C1" s="2" t="s">
        <v>10</v>
      </c>
      <c r="D1" s="2" t="s">
        <v>0</v>
      </c>
      <c r="F1" s="2" t="s">
        <v>11</v>
      </c>
      <c r="L1" s="52" t="s">
        <v>32</v>
      </c>
      <c r="M1" s="200" t="s">
        <v>33</v>
      </c>
      <c r="N1" s="25" t="s">
        <v>41</v>
      </c>
      <c r="O1" s="25" t="s">
        <v>42</v>
      </c>
      <c r="P1" s="54" t="s">
        <v>34</v>
      </c>
      <c r="R1" s="10" t="s">
        <v>58</v>
      </c>
    </row>
    <row r="2" spans="1:18" ht="37.5">
      <c r="A2" s="3" t="s">
        <v>8</v>
      </c>
      <c r="B2" s="6">
        <v>6.8</v>
      </c>
      <c r="C2" s="7">
        <v>26400</v>
      </c>
      <c r="D2" s="7">
        <v>18200</v>
      </c>
      <c r="F2" s="7">
        <v>650000</v>
      </c>
      <c r="L2" s="53"/>
      <c r="M2" s="200"/>
      <c r="N2" s="2">
        <v>0</v>
      </c>
      <c r="O2" s="8">
        <v>24000000</v>
      </c>
      <c r="P2" s="55">
        <v>430000</v>
      </c>
      <c r="R2" s="7">
        <v>150000</v>
      </c>
    </row>
    <row r="3" spans="1:18" ht="37.5">
      <c r="A3" s="3" t="s">
        <v>22</v>
      </c>
      <c r="B3" s="6">
        <v>2.4</v>
      </c>
      <c r="C3" s="8">
        <v>9700</v>
      </c>
      <c r="D3" s="7">
        <v>7100</v>
      </c>
      <c r="F3" s="7">
        <v>220000</v>
      </c>
      <c r="L3" s="53"/>
      <c r="M3" s="200"/>
      <c r="N3" s="20">
        <f>O2</f>
        <v>24000000</v>
      </c>
      <c r="O3" s="7">
        <v>24500000</v>
      </c>
      <c r="P3" s="55">
        <v>290000</v>
      </c>
    </row>
    <row r="4" spans="1:18" ht="37.5">
      <c r="A4" s="3" t="s">
        <v>21</v>
      </c>
      <c r="B4" s="6">
        <v>2.2000000000000002</v>
      </c>
      <c r="C4" s="8">
        <v>10800</v>
      </c>
      <c r="D4" s="7">
        <v>4800</v>
      </c>
      <c r="F4" s="7">
        <v>170000</v>
      </c>
      <c r="L4" s="53"/>
      <c r="M4" s="200"/>
      <c r="N4" s="26">
        <f>O3</f>
        <v>24500000</v>
      </c>
      <c r="O4" s="8">
        <v>25000000</v>
      </c>
      <c r="P4" s="55">
        <v>150000</v>
      </c>
    </row>
    <row r="5" spans="1:18">
      <c r="L5" s="53"/>
      <c r="M5" s="200"/>
      <c r="N5" s="26">
        <f>O4</f>
        <v>25000000</v>
      </c>
      <c r="P5" s="56">
        <v>0</v>
      </c>
    </row>
    <row r="7" spans="1:18">
      <c r="A7" s="57" t="s">
        <v>60</v>
      </c>
      <c r="F7" s="2" t="s">
        <v>17</v>
      </c>
      <c r="J7" s="2" t="s">
        <v>14</v>
      </c>
    </row>
    <row r="8" spans="1:18">
      <c r="A8" s="60" t="str">
        <f>Q8*10&amp;"割軽減"</f>
        <v>7割軽減</v>
      </c>
      <c r="B8" s="7">
        <v>430000</v>
      </c>
      <c r="G8" s="2" t="s">
        <v>12</v>
      </c>
      <c r="H8" s="7">
        <v>100000</v>
      </c>
      <c r="I8" s="2" t="s">
        <v>15</v>
      </c>
      <c r="J8" s="2" t="s">
        <v>23</v>
      </c>
      <c r="K8" s="2" t="s">
        <v>1</v>
      </c>
      <c r="L8" s="2">
        <v>1</v>
      </c>
      <c r="M8" s="9" t="s">
        <v>16</v>
      </c>
      <c r="N8" s="28">
        <v>10</v>
      </c>
      <c r="O8" s="2" t="s">
        <v>59</v>
      </c>
      <c r="P8" s="58">
        <v>7</v>
      </c>
      <c r="Q8" s="59">
        <f>P8/N8</f>
        <v>0.7</v>
      </c>
    </row>
    <row r="9" spans="1:18">
      <c r="A9" s="136" t="str">
        <f t="shared" ref="A9:A10" si="0">Q9*10&amp;"割軽減"</f>
        <v>5割軽減</v>
      </c>
      <c r="B9" s="137">
        <v>430000</v>
      </c>
      <c r="C9" s="72" t="s">
        <v>12</v>
      </c>
      <c r="D9" s="137">
        <v>290000</v>
      </c>
      <c r="E9" s="72" t="s">
        <v>13</v>
      </c>
      <c r="F9" s="72" t="s">
        <v>24</v>
      </c>
      <c r="G9" s="72" t="s">
        <v>12</v>
      </c>
      <c r="H9" s="137">
        <v>100000</v>
      </c>
      <c r="I9" s="72" t="s">
        <v>15</v>
      </c>
      <c r="J9" s="72" t="s">
        <v>23</v>
      </c>
      <c r="K9" s="72" t="s">
        <v>1</v>
      </c>
      <c r="L9" s="72">
        <v>1</v>
      </c>
      <c r="M9" s="138" t="s">
        <v>16</v>
      </c>
      <c r="N9" s="139">
        <v>10</v>
      </c>
      <c r="O9" s="72" t="s">
        <v>59</v>
      </c>
      <c r="P9" s="140">
        <v>5</v>
      </c>
      <c r="Q9" s="141">
        <f t="shared" ref="Q9:Q10" si="1">P9/N9</f>
        <v>0.5</v>
      </c>
    </row>
    <row r="10" spans="1:18">
      <c r="A10" s="60" t="str">
        <f t="shared" si="0"/>
        <v>2割軽減</v>
      </c>
      <c r="B10" s="7">
        <v>430000</v>
      </c>
      <c r="C10" s="2" t="s">
        <v>12</v>
      </c>
      <c r="D10" s="7">
        <v>535000</v>
      </c>
      <c r="E10" s="2" t="s">
        <v>13</v>
      </c>
      <c r="F10" s="21" t="s">
        <v>24</v>
      </c>
      <c r="G10" s="2" t="s">
        <v>12</v>
      </c>
      <c r="H10" s="7">
        <v>100000</v>
      </c>
      <c r="I10" s="2" t="s">
        <v>15</v>
      </c>
      <c r="J10" s="2" t="s">
        <v>23</v>
      </c>
      <c r="K10" s="2" t="s">
        <v>1</v>
      </c>
      <c r="L10" s="2">
        <v>1</v>
      </c>
      <c r="M10" s="9" t="s">
        <v>16</v>
      </c>
      <c r="N10" s="28">
        <v>10</v>
      </c>
      <c r="O10" s="45" t="s">
        <v>59</v>
      </c>
      <c r="P10" s="58">
        <v>2</v>
      </c>
      <c r="Q10" s="59">
        <f t="shared" si="1"/>
        <v>0.2</v>
      </c>
    </row>
    <row r="12" spans="1:18">
      <c r="A12" s="61" t="s">
        <v>61</v>
      </c>
      <c r="B12" s="28">
        <v>2</v>
      </c>
      <c r="C12" s="2" t="s">
        <v>59</v>
      </c>
      <c r="D12" s="58">
        <v>1</v>
      </c>
      <c r="F12" s="11">
        <f>D12/B12</f>
        <v>0.5</v>
      </c>
    </row>
  </sheetData>
  <mergeCells count="1">
    <mergeCell ref="M1:M5"/>
  </mergeCells>
  <phoneticPr fontId="1"/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33"/>
  <sheetViews>
    <sheetView zoomScale="85" zoomScaleNormal="85" workbookViewId="0">
      <selection activeCell="A15" sqref="A15:D16"/>
    </sheetView>
  </sheetViews>
  <sheetFormatPr defaultRowHeight="18.75"/>
  <cols>
    <col min="1" max="1" width="9" style="5"/>
    <col min="2" max="2" width="6.75" style="2" bestFit="1" customWidth="1"/>
    <col min="3" max="3" width="10.5" style="2" bestFit="1" customWidth="1"/>
    <col min="4" max="4" width="9.875" style="2" bestFit="1" customWidth="1"/>
    <col min="5" max="5" width="9.875" style="13" customWidth="1"/>
    <col min="6" max="6" width="9" style="5" bestFit="1" customWidth="1"/>
    <col min="7" max="7" width="13.125" style="5" customWidth="1"/>
    <col min="8" max="8" width="11" style="5" bestFit="1" customWidth="1"/>
    <col min="9" max="9" width="10.5" style="5" customWidth="1"/>
    <col min="10" max="10" width="10.5" style="5" bestFit="1" customWidth="1"/>
    <col min="11" max="11" width="9.5" style="5" bestFit="1" customWidth="1"/>
    <col min="12" max="12" width="8" style="5" bestFit="1" customWidth="1"/>
    <col min="13" max="13" width="9.5" style="5" bestFit="1" customWidth="1"/>
    <col min="14" max="14" width="5" style="5" bestFit="1" customWidth="1"/>
    <col min="15" max="15" width="9" style="5" bestFit="1" customWidth="1"/>
    <col min="16" max="16" width="8" style="5" bestFit="1" customWidth="1"/>
    <col min="17" max="17" width="6.375" style="5" bestFit="1" customWidth="1"/>
    <col min="18" max="18" width="8" style="5" bestFit="1" customWidth="1"/>
    <col min="19" max="19" width="8" style="5" customWidth="1"/>
    <col min="20" max="20" width="9.375" style="5" customWidth="1"/>
    <col min="21" max="21" width="6.375" style="5" bestFit="1" customWidth="1"/>
    <col min="22" max="22" width="7" style="5" bestFit="1" customWidth="1"/>
    <col min="23" max="23" width="10.5" style="5" customWidth="1"/>
    <col min="24" max="16384" width="9" style="5"/>
  </cols>
  <sheetData>
    <row r="1" spans="1:24">
      <c r="A1" s="5" t="s">
        <v>18</v>
      </c>
      <c r="B1" s="12"/>
      <c r="D1" s="13"/>
      <c r="E1" s="5"/>
    </row>
    <row r="2" spans="1:24">
      <c r="C2" s="13"/>
      <c r="D2" s="13"/>
      <c r="F2" s="13"/>
      <c r="G2" s="13"/>
      <c r="H2" s="13"/>
      <c r="I2" s="13"/>
      <c r="J2" s="13"/>
      <c r="K2" s="13"/>
      <c r="L2" s="13"/>
      <c r="M2" s="13"/>
      <c r="N2" s="13" t="s">
        <v>49</v>
      </c>
      <c r="O2" s="13" t="s">
        <v>54</v>
      </c>
      <c r="P2" s="5" t="s">
        <v>53</v>
      </c>
      <c r="T2" s="5" t="s">
        <v>45</v>
      </c>
    </row>
    <row r="3" spans="1:24" s="2" customFormat="1" ht="56.25">
      <c r="A3" s="2" t="s">
        <v>5</v>
      </c>
      <c r="B3" s="2" t="s">
        <v>2</v>
      </c>
      <c r="C3" s="2" t="s">
        <v>6</v>
      </c>
      <c r="D3" s="23" t="s">
        <v>39</v>
      </c>
      <c r="E3" s="23" t="s">
        <v>40</v>
      </c>
      <c r="F3" s="23" t="s">
        <v>38</v>
      </c>
      <c r="G3" s="29" t="s">
        <v>36</v>
      </c>
      <c r="H3" s="23" t="s">
        <v>26</v>
      </c>
      <c r="I3" s="23" t="s">
        <v>66</v>
      </c>
      <c r="J3" s="23" t="s">
        <v>67</v>
      </c>
      <c r="K3" s="23" t="s">
        <v>43</v>
      </c>
      <c r="L3" s="23" t="s">
        <v>44</v>
      </c>
      <c r="M3" s="3" t="s">
        <v>37</v>
      </c>
      <c r="O3" s="2" t="s">
        <v>3</v>
      </c>
      <c r="P3" s="3" t="s">
        <v>46</v>
      </c>
      <c r="Q3" s="4" t="s">
        <v>47</v>
      </c>
      <c r="R3" s="30" t="s">
        <v>48</v>
      </c>
      <c r="S3" s="30" t="s">
        <v>55</v>
      </c>
      <c r="T3" s="3" t="s">
        <v>46</v>
      </c>
      <c r="U3" s="4" t="s">
        <v>47</v>
      </c>
      <c r="V3" s="30" t="s">
        <v>48</v>
      </c>
      <c r="W3" s="5" t="s">
        <v>50</v>
      </c>
    </row>
    <row r="4" spans="1:24">
      <c r="A4" s="2" t="s">
        <v>4</v>
      </c>
      <c r="B4" s="70" t="str">
        <f>IF(入力画面!C3="","",入力画面!C3)</f>
        <v/>
      </c>
      <c r="C4" s="14" t="str">
        <f>IF(B4="","",IF(B4&lt;6,"未就学児",IF(AND(40&lt;=B4,B4&lt;65),"介護該当",IF(75&lt;=B4,"","一般"))))</f>
        <v/>
      </c>
      <c r="D4" s="15">
        <f>入力画面!D3</f>
        <v>0</v>
      </c>
      <c r="E4" s="15">
        <f>入力画面!E3</f>
        <v>0</v>
      </c>
      <c r="F4" s="15">
        <f>入力画面!F3</f>
        <v>0</v>
      </c>
      <c r="G4" s="15">
        <f>入力画面!G3</f>
        <v>0</v>
      </c>
      <c r="H4" s="24">
        <f t="shared" ref="H4:H9" si="0">SUM(D4:E4)</f>
        <v>0</v>
      </c>
      <c r="I4" s="15">
        <f>D4+IF(国デ!$R$2&lt;=E4,E4-国デ!$R$2,0)+F4</f>
        <v>0</v>
      </c>
      <c r="J4" s="15">
        <f t="shared" ref="J4:J9" si="1">IF(I4&lt;0,G4,I4+G4)</f>
        <v>0</v>
      </c>
      <c r="K4" s="15">
        <f t="shared" ref="K4:K9" si="2">SUM(D4:F4)</f>
        <v>0</v>
      </c>
      <c r="L4" s="15">
        <f>IF(J4&lt;=国デ!$O$2,国デ!$P$2,IF(AND(国デ!$N$3&lt;J4,J4&lt;=国デ!$O$3),国デ!$P$3,IF(AND(国デ!$N$4&lt;J4,J4&lt;=国デ!$O$4),国デ!$P$4,0)))</f>
        <v>430000</v>
      </c>
      <c r="M4" s="16">
        <f>IF(K4-L4&lt;0,0,K4-L4)</f>
        <v>0</v>
      </c>
      <c r="N4" s="17"/>
      <c r="O4" s="14">
        <f>ROUNDDOWN(M4*国デ!$B$2/100,0)</f>
        <v>0</v>
      </c>
      <c r="P4" s="14" t="str">
        <f>IF(C4="","",国デ!$C$2)</f>
        <v/>
      </c>
      <c r="Q4" s="18" t="str">
        <f>IF(C4="","",IF($C$18=国デ!$A$8,P4*国デ!$Q$8,IF($C$18=国デ!$A$9,P4*国デ!$Q$9,IF($C$18=国デ!$A$10,P4*国デ!$Q$10,0))))</f>
        <v/>
      </c>
      <c r="R4" s="31" t="str">
        <f t="shared" ref="R4:R9" si="3">IF(C4="","",P4-Q4)</f>
        <v/>
      </c>
      <c r="S4" s="31" t="str">
        <f>IF(C4="未就学児",R4*国デ!$F$12,R4)</f>
        <v/>
      </c>
      <c r="T4" s="205">
        <f>IF(B10&gt;0,国デ!$D$2,0)</f>
        <v>0</v>
      </c>
      <c r="U4" s="198">
        <f>IF($C$18=国デ!$A$8,T4*国デ!$Q$8,IF($C$18=国デ!$A$9,T4*国デ!$Q$9,IF($C$18=国デ!$A$10,T4*国デ!$Q$10,0)))</f>
        <v>0</v>
      </c>
      <c r="V4" s="199">
        <f>T4-U4</f>
        <v>0</v>
      </c>
    </row>
    <row r="5" spans="1:24">
      <c r="A5" s="2" t="s">
        <v>27</v>
      </c>
      <c r="B5" s="70" t="str">
        <f>IF(入力画面!C4="","",入力画面!C4)</f>
        <v/>
      </c>
      <c r="C5" s="14" t="str">
        <f t="shared" ref="C5:C9" si="4">IF(B5="","",IF(B5&lt;6,"未就学児",IF(AND(40&lt;=B5,B5&lt;65),"介護該当",IF(75&lt;=B5,"","一般"))))</f>
        <v/>
      </c>
      <c r="D5" s="15">
        <f>入力画面!D4</f>
        <v>0</v>
      </c>
      <c r="E5" s="15">
        <f>入力画面!E4</f>
        <v>0</v>
      </c>
      <c r="F5" s="15">
        <f>入力画面!F4</f>
        <v>0</v>
      </c>
      <c r="G5" s="15">
        <f>入力画面!G4</f>
        <v>0</v>
      </c>
      <c r="H5" s="24">
        <f t="shared" si="0"/>
        <v>0</v>
      </c>
      <c r="I5" s="15">
        <f>D5+IF(国デ!$R$2&lt;=E5,E5-国デ!$R$2,0)+F5</f>
        <v>0</v>
      </c>
      <c r="J5" s="15">
        <f t="shared" si="1"/>
        <v>0</v>
      </c>
      <c r="K5" s="15">
        <f t="shared" si="2"/>
        <v>0</v>
      </c>
      <c r="L5" s="15">
        <f>IF(J5&lt;=国デ!$O$2,国デ!$P$2,IF(AND(国デ!$N$3&lt;J5,J5&lt;=国デ!$O$3),国デ!$P$3,IF(AND(国デ!$N$4&lt;J5,J5&lt;=国デ!$O$4),国デ!$P$4,0)))</f>
        <v>430000</v>
      </c>
      <c r="M5" s="16">
        <f t="shared" ref="M5:M9" si="5">IF(K5-L5&lt;0,0,K5-L5)</f>
        <v>0</v>
      </c>
      <c r="N5" s="17"/>
      <c r="O5" s="14">
        <f>ROUNDDOWN(M5*国デ!$B$2/100,0)</f>
        <v>0</v>
      </c>
      <c r="P5" s="14" t="str">
        <f>IF(C5="","",国デ!$C$2)</f>
        <v/>
      </c>
      <c r="Q5" s="18" t="str">
        <f>IF(C5="","",IF($C$18=国デ!$A$8,P5*国デ!$Q$8,IF($C$18=国デ!$A$9,P5*国デ!$Q$9,IF($C$18=国デ!$A$10,P5*国デ!$Q$10,0))))</f>
        <v/>
      </c>
      <c r="R5" s="31" t="str">
        <f t="shared" si="3"/>
        <v/>
      </c>
      <c r="S5" s="31" t="str">
        <f>IF(C5="未就学児",R5*国デ!$F$12,R5)</f>
        <v/>
      </c>
      <c r="T5" s="205"/>
      <c r="U5" s="198"/>
      <c r="V5" s="199"/>
    </row>
    <row r="6" spans="1:24">
      <c r="A6" s="2" t="s">
        <v>28</v>
      </c>
      <c r="B6" s="70" t="str">
        <f>IF(入力画面!C5="","",入力画面!C5)</f>
        <v/>
      </c>
      <c r="C6" s="14" t="str">
        <f t="shared" si="4"/>
        <v/>
      </c>
      <c r="D6" s="15">
        <f>入力画面!D5</f>
        <v>0</v>
      </c>
      <c r="E6" s="15">
        <f>入力画面!E5</f>
        <v>0</v>
      </c>
      <c r="F6" s="15">
        <f>入力画面!F5</f>
        <v>0</v>
      </c>
      <c r="G6" s="15">
        <f>入力画面!G5</f>
        <v>0</v>
      </c>
      <c r="H6" s="24">
        <f t="shared" si="0"/>
        <v>0</v>
      </c>
      <c r="I6" s="15">
        <f>D6+IF(国デ!$R$2&lt;=E6,E6-国デ!$R$2,0)+F6</f>
        <v>0</v>
      </c>
      <c r="J6" s="15">
        <f t="shared" si="1"/>
        <v>0</v>
      </c>
      <c r="K6" s="15">
        <f t="shared" si="2"/>
        <v>0</v>
      </c>
      <c r="L6" s="15">
        <f>IF(J6&lt;=国デ!$O$2,国デ!$P$2,IF(AND(国デ!$N$3&lt;J6,J6&lt;=国デ!$O$3),国デ!$P$3,IF(AND(国デ!$N$4&lt;J6,J6&lt;=国デ!$O$4),国デ!$P$4,0)))</f>
        <v>430000</v>
      </c>
      <c r="M6" s="16">
        <f t="shared" si="5"/>
        <v>0</v>
      </c>
      <c r="N6" s="17"/>
      <c r="O6" s="14">
        <f>ROUNDDOWN(M6*国デ!$B$2/100,0)</f>
        <v>0</v>
      </c>
      <c r="P6" s="14" t="str">
        <f>IF(C6="","",国デ!$C$2)</f>
        <v/>
      </c>
      <c r="Q6" s="18" t="str">
        <f>IF(C6="","",IF($C$18=国デ!$A$8,P6*国デ!$Q$8,IF($C$18=国デ!$A$9,P6*国デ!$Q$9,IF($C$18=国デ!$A$10,P6*国デ!$Q$10,0))))</f>
        <v/>
      </c>
      <c r="R6" s="31" t="str">
        <f t="shared" si="3"/>
        <v/>
      </c>
      <c r="S6" s="31" t="str">
        <f>IF(C6="未就学児",R6*国デ!$F$12,R6)</f>
        <v/>
      </c>
      <c r="T6" s="205"/>
      <c r="U6" s="198"/>
      <c r="V6" s="199"/>
    </row>
    <row r="7" spans="1:24">
      <c r="A7" s="2" t="s">
        <v>29</v>
      </c>
      <c r="B7" s="70" t="str">
        <f>IF(入力画面!C6="","",入力画面!C6)</f>
        <v/>
      </c>
      <c r="C7" s="14" t="str">
        <f t="shared" si="4"/>
        <v/>
      </c>
      <c r="D7" s="15">
        <f>入力画面!D6</f>
        <v>0</v>
      </c>
      <c r="E7" s="15">
        <f>入力画面!E6</f>
        <v>0</v>
      </c>
      <c r="F7" s="15">
        <f>入力画面!F6</f>
        <v>0</v>
      </c>
      <c r="G7" s="15">
        <f>入力画面!G6</f>
        <v>0</v>
      </c>
      <c r="H7" s="24">
        <f t="shared" si="0"/>
        <v>0</v>
      </c>
      <c r="I7" s="15">
        <f>D7+IF(国デ!$R$2&lt;=E7,E7-国デ!$R$2,0)+F7</f>
        <v>0</v>
      </c>
      <c r="J7" s="15">
        <f t="shared" si="1"/>
        <v>0</v>
      </c>
      <c r="K7" s="15">
        <f t="shared" si="2"/>
        <v>0</v>
      </c>
      <c r="L7" s="15">
        <f>IF(J7&lt;=国デ!$O$2,国デ!$P$2,IF(AND(国デ!$N$3&lt;J7,J7&lt;=国デ!$O$3),国デ!$P$3,IF(AND(国デ!$N$4&lt;J7,J7&lt;=国デ!$O$4),国デ!$P$4,0)))</f>
        <v>430000</v>
      </c>
      <c r="M7" s="16">
        <f t="shared" si="5"/>
        <v>0</v>
      </c>
      <c r="N7" s="17"/>
      <c r="O7" s="14">
        <f>ROUNDDOWN(M7*国デ!$B$2/100,0)</f>
        <v>0</v>
      </c>
      <c r="P7" s="14" t="str">
        <f>IF(C7="","",国デ!$C$2)</f>
        <v/>
      </c>
      <c r="Q7" s="18" t="str">
        <f>IF(C7="","",IF($C$18=国デ!$A$8,P7*国デ!$Q$8,IF($C$18=国デ!$A$9,P7*国デ!$Q$9,IF($C$18=国デ!$A$10,P7*国デ!$Q$10,0))))</f>
        <v/>
      </c>
      <c r="R7" s="31" t="str">
        <f t="shared" si="3"/>
        <v/>
      </c>
      <c r="S7" s="31" t="str">
        <f>IF(C7="未就学児",R7*国デ!$F$12,R7)</f>
        <v/>
      </c>
      <c r="T7" s="205"/>
      <c r="U7" s="198"/>
      <c r="V7" s="199"/>
    </row>
    <row r="8" spans="1:24">
      <c r="A8" s="2" t="s">
        <v>30</v>
      </c>
      <c r="B8" s="70" t="str">
        <f>IF(入力画面!C7="","",入力画面!C7)</f>
        <v/>
      </c>
      <c r="C8" s="14" t="str">
        <f t="shared" si="4"/>
        <v/>
      </c>
      <c r="D8" s="15">
        <f>入力画面!D7</f>
        <v>0</v>
      </c>
      <c r="E8" s="15">
        <f>入力画面!E7</f>
        <v>0</v>
      </c>
      <c r="F8" s="15">
        <f>入力画面!F7</f>
        <v>0</v>
      </c>
      <c r="G8" s="15">
        <f>入力画面!G7</f>
        <v>0</v>
      </c>
      <c r="H8" s="24">
        <f t="shared" si="0"/>
        <v>0</v>
      </c>
      <c r="I8" s="15">
        <f>D8+IF(国デ!$R$2&lt;=E8,E8-国デ!$R$2,0)+F8</f>
        <v>0</v>
      </c>
      <c r="J8" s="15">
        <f t="shared" si="1"/>
        <v>0</v>
      </c>
      <c r="K8" s="15">
        <f t="shared" si="2"/>
        <v>0</v>
      </c>
      <c r="L8" s="15">
        <f>IF(J8&lt;=国デ!$O$2,国デ!$P$2,IF(AND(国デ!$N$3&lt;J8,J8&lt;=国デ!$O$3),国デ!$P$3,IF(AND(国デ!$N$4&lt;J8,J8&lt;=国デ!$O$4),国デ!$P$4,0)))</f>
        <v>430000</v>
      </c>
      <c r="M8" s="16">
        <f t="shared" si="5"/>
        <v>0</v>
      </c>
      <c r="N8" s="17"/>
      <c r="O8" s="14">
        <f>ROUNDDOWN(M8*国デ!$B$2/100,0)</f>
        <v>0</v>
      </c>
      <c r="P8" s="14" t="str">
        <f>IF(C8="","",国デ!$C$2)</f>
        <v/>
      </c>
      <c r="Q8" s="18" t="str">
        <f>IF(C8="","",IF($C$18=国デ!$A$8,P8*国デ!$Q$8,IF($C$18=国デ!$A$9,P8*国デ!$Q$9,IF($C$18=国デ!$A$10,P8*国デ!$Q$10,0))))</f>
        <v/>
      </c>
      <c r="R8" s="31" t="str">
        <f t="shared" si="3"/>
        <v/>
      </c>
      <c r="S8" s="31" t="str">
        <f>IF(C8="未就学児",R8*国デ!$F$12,R8)</f>
        <v/>
      </c>
      <c r="T8" s="205"/>
      <c r="U8" s="198"/>
      <c r="V8" s="199"/>
    </row>
    <row r="9" spans="1:24">
      <c r="A9" s="2" t="s">
        <v>31</v>
      </c>
      <c r="B9" s="70" t="str">
        <f>IF(入力画面!C8="","",入力画面!C8)</f>
        <v/>
      </c>
      <c r="C9" s="14" t="str">
        <f t="shared" si="4"/>
        <v/>
      </c>
      <c r="D9" s="15">
        <f>入力画面!D8</f>
        <v>0</v>
      </c>
      <c r="E9" s="15">
        <f>入力画面!E8</f>
        <v>0</v>
      </c>
      <c r="F9" s="15">
        <f>入力画面!F8</f>
        <v>0</v>
      </c>
      <c r="G9" s="15">
        <f>入力画面!G8</f>
        <v>0</v>
      </c>
      <c r="H9" s="24">
        <f t="shared" si="0"/>
        <v>0</v>
      </c>
      <c r="I9" s="15">
        <f>D9+IF(国デ!$R$2&lt;=E9,E9-国デ!$R$2,0)+F9</f>
        <v>0</v>
      </c>
      <c r="J9" s="15">
        <f t="shared" si="1"/>
        <v>0</v>
      </c>
      <c r="K9" s="15">
        <f t="shared" si="2"/>
        <v>0</v>
      </c>
      <c r="L9" s="15">
        <f>IF(J9&lt;=国デ!$O$2,国デ!$P$2,IF(AND(国デ!$N$3&lt;J9,J9&lt;=国デ!$O$3),国デ!$P$3,IF(AND(国デ!$N$4&lt;J9,J9&lt;=国デ!$O$4),国デ!$P$4,0)))</f>
        <v>430000</v>
      </c>
      <c r="M9" s="16">
        <f t="shared" si="5"/>
        <v>0</v>
      </c>
      <c r="N9" s="17"/>
      <c r="O9" s="14">
        <f>ROUNDDOWN(M9*国デ!$B$2/100,0)</f>
        <v>0</v>
      </c>
      <c r="P9" s="14" t="str">
        <f>IF(C9="","",国デ!$C$2)</f>
        <v/>
      </c>
      <c r="Q9" s="18" t="str">
        <f>IF(C9="","",IF($C$18=国デ!$A$8,P9*国デ!$Q$8,IF($C$18=国デ!$A$9,P9*国デ!$Q$9,IF($C$18=国デ!$A$10,P9*国デ!$Q$10,0))))</f>
        <v/>
      </c>
      <c r="R9" s="31" t="str">
        <f t="shared" si="3"/>
        <v/>
      </c>
      <c r="S9" s="31" t="str">
        <f>IF(C9="未就学児",R9*国デ!$F$12,R9)</f>
        <v/>
      </c>
      <c r="T9" s="205"/>
      <c r="U9" s="198"/>
      <c r="V9" s="199"/>
    </row>
    <row r="10" spans="1:24">
      <c r="A10" s="27" t="s">
        <v>35</v>
      </c>
      <c r="B10" s="70">
        <f>COUNTIF(B4:B9,"&gt;=0")</f>
        <v>0</v>
      </c>
      <c r="C10" s="46">
        <f>COUNTIF(C4:C9,"介護該当")</f>
        <v>0</v>
      </c>
      <c r="D10" s="15"/>
      <c r="E10" s="15"/>
      <c r="F10" s="71"/>
      <c r="G10" s="71"/>
      <c r="K10" s="14"/>
      <c r="L10" s="14"/>
      <c r="N10" s="17"/>
      <c r="O10" s="43">
        <f>SUM(O4:O9)</f>
        <v>0</v>
      </c>
      <c r="P10" s="14"/>
      <c r="Q10" s="18"/>
      <c r="R10" s="31"/>
      <c r="S10" s="43">
        <f>SUM(S4:S9)</f>
        <v>0</v>
      </c>
      <c r="T10" s="22"/>
      <c r="U10" s="42"/>
      <c r="V10" s="43">
        <f>SUM(V4:V9)</f>
        <v>0</v>
      </c>
      <c r="W10" s="44">
        <f>O10+S10+V10</f>
        <v>0</v>
      </c>
      <c r="X10" s="45" t="s">
        <v>57</v>
      </c>
    </row>
    <row r="11" spans="1:24">
      <c r="A11" s="3" t="s">
        <v>20</v>
      </c>
      <c r="B11" s="70" t="str">
        <f>IF(入力画面!C10="","",入力画面!C10)</f>
        <v/>
      </c>
      <c r="C11" s="13"/>
      <c r="D11" s="15">
        <f>入力画面!D10</f>
        <v>0</v>
      </c>
      <c r="E11" s="15">
        <f>入力画面!E10</f>
        <v>0</v>
      </c>
      <c r="F11" s="80">
        <f>入力画面!F10</f>
        <v>0</v>
      </c>
      <c r="G11" s="15">
        <f>入力画面!G10</f>
        <v>0</v>
      </c>
      <c r="H11" s="24">
        <f>SUM(D11:E11)</f>
        <v>0</v>
      </c>
      <c r="I11" s="15">
        <f>D11+IF(国デ!$R$2&lt;=E11,E11-国デ!$R$2,0)+F11</f>
        <v>0</v>
      </c>
      <c r="J11" s="15">
        <f>IF(I11&lt;0,G11,I11+G11)</f>
        <v>0</v>
      </c>
      <c r="K11" s="14"/>
      <c r="L11" s="14"/>
      <c r="O11" s="32"/>
      <c r="P11" s="32"/>
      <c r="Q11" s="33"/>
      <c r="R11" s="34"/>
      <c r="S11" s="34"/>
      <c r="T11" s="34"/>
      <c r="U11" s="33"/>
      <c r="V11" s="34" t="s">
        <v>65</v>
      </c>
      <c r="W11" s="78">
        <f>ROUNDDOWN(W10,-2)</f>
        <v>0</v>
      </c>
      <c r="X11" s="79">
        <f>IF(W11&gt;国デ!F2,国デ!F2,W11)</f>
        <v>0</v>
      </c>
    </row>
    <row r="12" spans="1:24">
      <c r="D12" s="13"/>
      <c r="E12" s="5"/>
      <c r="H12" s="11">
        <f>COUNTIF(H4:H11,"&gt;0")</f>
        <v>0</v>
      </c>
      <c r="I12" s="14"/>
      <c r="J12" s="14">
        <f>SUM(J4:J11)</f>
        <v>0</v>
      </c>
      <c r="N12" s="13" t="s">
        <v>51</v>
      </c>
      <c r="O12" s="13" t="s">
        <v>54</v>
      </c>
      <c r="P12" s="5" t="s">
        <v>53</v>
      </c>
      <c r="T12" s="5" t="s">
        <v>45</v>
      </c>
    </row>
    <row r="13" spans="1:24" ht="56.25">
      <c r="C13" s="2" t="s">
        <v>7</v>
      </c>
      <c r="M13" s="13"/>
      <c r="N13" s="2"/>
      <c r="O13" s="2" t="s">
        <v>3</v>
      </c>
      <c r="P13" s="3" t="s">
        <v>46</v>
      </c>
      <c r="Q13" s="4" t="s">
        <v>47</v>
      </c>
      <c r="R13" s="30" t="s">
        <v>48</v>
      </c>
      <c r="S13" s="30" t="s">
        <v>55</v>
      </c>
      <c r="T13" s="3" t="s">
        <v>46</v>
      </c>
      <c r="U13" s="4" t="s">
        <v>47</v>
      </c>
      <c r="V13" s="30" t="s">
        <v>48</v>
      </c>
      <c r="W13" s="5" t="s">
        <v>50</v>
      </c>
    </row>
    <row r="14" spans="1:24">
      <c r="B14" s="19" t="s">
        <v>25</v>
      </c>
      <c r="C14" s="20">
        <f>J12</f>
        <v>0</v>
      </c>
      <c r="N14" s="17"/>
      <c r="O14" s="14">
        <f>ROUNDDOWN(M4*国デ!$B$3/100,0)</f>
        <v>0</v>
      </c>
      <c r="P14" s="14" t="str">
        <f>IF(C4="","",国デ!$C$3)</f>
        <v/>
      </c>
      <c r="Q14" s="18" t="str">
        <f>IF(C4="","",IF($C$18=国デ!$A$8,P14*国デ!$Q$8,IF($C$18=国デ!$A$9,P14*国デ!$Q$9,IF($C$18=国デ!$A$10,P14*国デ!$Q$10,0))))</f>
        <v/>
      </c>
      <c r="R14" s="31" t="str">
        <f t="shared" ref="R14:R19" si="6">IF(C4="","",P14-Q14)</f>
        <v/>
      </c>
      <c r="S14" s="31" t="str">
        <f>IF(C4="未就学児",R14*国デ!$F$12,R14)</f>
        <v/>
      </c>
      <c r="T14" s="205">
        <f>IF(B10&gt;0,国デ!D3,0)</f>
        <v>0</v>
      </c>
      <c r="U14" s="198">
        <f>IF($C$18=国デ!$A$8,T14*国デ!$Q$8,IF($C$18=国デ!$A$9,T14*国デ!$Q$9,IF($C$18=国デ!$A$10,T14*国デ!$Q$10,0)))</f>
        <v>0</v>
      </c>
      <c r="V14" s="199">
        <f>T14-U14</f>
        <v>0</v>
      </c>
    </row>
    <row r="15" spans="1:24">
      <c r="B15" s="47" t="str">
        <f>国デ!Q8*10&amp;"割ライン"</f>
        <v>7割ライン</v>
      </c>
      <c r="C15" s="14">
        <f>国デ!B8+国デ!H8*(IF(H12&gt;1,H12,1)-1)</f>
        <v>430000</v>
      </c>
      <c r="N15" s="17"/>
      <c r="O15" s="14">
        <f>ROUNDDOWN(M5*国デ!$B$3/100,0)</f>
        <v>0</v>
      </c>
      <c r="P15" s="14" t="str">
        <f>IF(C5="","",国デ!$C$3)</f>
        <v/>
      </c>
      <c r="Q15" s="18" t="str">
        <f>IF(C5="","",IF($C$18=国デ!$A$8,P15*国デ!$Q$8,IF($C$18=国デ!$A$9,P15*国デ!$Q$9,IF($C$18=国デ!$A$10,P15*国デ!$Q$10,0))))</f>
        <v/>
      </c>
      <c r="R15" s="31" t="str">
        <f t="shared" si="6"/>
        <v/>
      </c>
      <c r="S15" s="31" t="str">
        <f>IF(C5="未就学児",R15*国デ!$F$12,R15)</f>
        <v/>
      </c>
      <c r="T15" s="205"/>
      <c r="U15" s="198"/>
      <c r="V15" s="199"/>
    </row>
    <row r="16" spans="1:24">
      <c r="B16" s="47" t="str">
        <f>国デ!Q9*10&amp;"割ライン"</f>
        <v>5割ライン</v>
      </c>
      <c r="C16" s="14">
        <f>国デ!B9+国デ!D9*B10+国デ!H9*(IF(H12&gt;1,H12,1)-1)</f>
        <v>430000</v>
      </c>
      <c r="N16" s="17"/>
      <c r="O16" s="14">
        <f>ROUNDDOWN(M6*国デ!$B$3/100,0)</f>
        <v>0</v>
      </c>
      <c r="P16" s="14" t="str">
        <f>IF(C6="","",国デ!$C$3)</f>
        <v/>
      </c>
      <c r="Q16" s="18" t="str">
        <f>IF(C6="","",IF($C$18=国デ!$A$8,P16*国デ!$Q$8,IF($C$18=国デ!$A$9,P16*国デ!$Q$9,IF($C$18=国デ!$A$10,P16*国デ!$Q$10,0))))</f>
        <v/>
      </c>
      <c r="R16" s="31" t="str">
        <f t="shared" si="6"/>
        <v/>
      </c>
      <c r="S16" s="31" t="str">
        <f>IF(C6="未就学児",R16*国デ!$F$12,R16)</f>
        <v/>
      </c>
      <c r="T16" s="205"/>
      <c r="U16" s="198"/>
      <c r="V16" s="199"/>
    </row>
    <row r="17" spans="2:24">
      <c r="B17" s="47" t="str">
        <f>国デ!Q10*10&amp;"割ライン"</f>
        <v>2割ライン</v>
      </c>
      <c r="C17" s="14">
        <f>国デ!B10+国デ!D10*B10+国デ!H10*(IF(H12&gt;1,H12,1)-1)</f>
        <v>430000</v>
      </c>
      <c r="N17" s="17"/>
      <c r="O17" s="14">
        <f>ROUNDDOWN(M7*国デ!$B$3/100,0)</f>
        <v>0</v>
      </c>
      <c r="P17" s="14" t="str">
        <f>IF(C7="","",国デ!$C$3)</f>
        <v/>
      </c>
      <c r="Q17" s="18" t="str">
        <f>IF(C7="","",IF($C$18=国デ!$A$8,P17*国デ!$Q$8,IF($C$18=国デ!$A$9,P17*国デ!$Q$9,IF($C$18=国デ!$A$10,P17*国デ!$Q$10,0))))</f>
        <v/>
      </c>
      <c r="R17" s="31" t="str">
        <f t="shared" si="6"/>
        <v/>
      </c>
      <c r="S17" s="31" t="str">
        <f>IF(C7="未就学児",R17*国デ!$F$12,R17)</f>
        <v/>
      </c>
      <c r="T17" s="205"/>
      <c r="U17" s="198"/>
      <c r="V17" s="199"/>
    </row>
    <row r="18" spans="2:24">
      <c r="C18" s="11" t="str">
        <f>IF(C14&lt;=C15,国デ!A8,IF(C14&lt;=C16,国デ!A9,IF(C14&lt;=C17,国デ!A10,"軽減なし")))</f>
        <v>7割軽減</v>
      </c>
      <c r="N18" s="17"/>
      <c r="O18" s="14">
        <f>ROUNDDOWN(M8*国デ!$B$3/100,0)</f>
        <v>0</v>
      </c>
      <c r="P18" s="14" t="str">
        <f>IF(C8="","",国デ!$C$3)</f>
        <v/>
      </c>
      <c r="Q18" s="18" t="str">
        <f>IF(C8="","",IF($C$18=国デ!$A$8,P18*国デ!$Q$8,IF($C$18=国デ!$A$9,P18*国デ!$Q$9,IF($C$18=国デ!$A$10,P18*国デ!$Q$10,0))))</f>
        <v/>
      </c>
      <c r="R18" s="31" t="str">
        <f t="shared" si="6"/>
        <v/>
      </c>
      <c r="S18" s="31" t="str">
        <f>IF(C8="未就学児",R18*国デ!$F$12,R18)</f>
        <v/>
      </c>
      <c r="T18" s="205"/>
      <c r="U18" s="198"/>
      <c r="V18" s="199"/>
    </row>
    <row r="19" spans="2:24">
      <c r="N19" s="17"/>
      <c r="O19" s="14">
        <f>ROUNDDOWN(M9*国デ!$B$3/100,0)</f>
        <v>0</v>
      </c>
      <c r="P19" s="14" t="str">
        <f>IF(C9="","",国デ!$C$3)</f>
        <v/>
      </c>
      <c r="Q19" s="18" t="str">
        <f>IF(C9="","",IF($C$18=国デ!$A$8,P19*国デ!$Q$8,IF($C$18=国デ!$A$9,P19*国デ!$Q$9,IF($C$18=国デ!$A$10,P19*国デ!$Q$10,0))))</f>
        <v/>
      </c>
      <c r="R19" s="31" t="str">
        <f t="shared" si="6"/>
        <v/>
      </c>
      <c r="S19" s="31" t="str">
        <f>IF(C9="未就学児",R19*国デ!$F$12,R19)</f>
        <v/>
      </c>
      <c r="T19" s="205"/>
      <c r="U19" s="198"/>
      <c r="V19" s="199"/>
    </row>
    <row r="20" spans="2:24">
      <c r="N20" s="17"/>
      <c r="O20" s="43">
        <f>SUM(O14:O19)</f>
        <v>0</v>
      </c>
      <c r="P20" s="14"/>
      <c r="Q20" s="18"/>
      <c r="R20" s="31"/>
      <c r="S20" s="43">
        <f>SUM(S14:S19)</f>
        <v>0</v>
      </c>
      <c r="T20" s="22"/>
      <c r="U20" s="42"/>
      <c r="V20" s="43">
        <f>SUM(V14:V19)</f>
        <v>0</v>
      </c>
      <c r="W20" s="44">
        <f>O20+S20+V20</f>
        <v>0</v>
      </c>
      <c r="X20" s="19" t="s">
        <v>57</v>
      </c>
    </row>
    <row r="21" spans="2:24">
      <c r="V21" s="34" t="s">
        <v>65</v>
      </c>
      <c r="W21" s="78">
        <f>ROUNDDOWN(W20,-2)</f>
        <v>0</v>
      </c>
      <c r="X21" s="79">
        <f>IF(W21&gt;国デ!F3,国デ!F3,W21)</f>
        <v>0</v>
      </c>
    </row>
    <row r="22" spans="2:24">
      <c r="N22" s="35" t="s">
        <v>52</v>
      </c>
      <c r="O22" s="13" t="s">
        <v>54</v>
      </c>
      <c r="P22" s="5" t="s">
        <v>53</v>
      </c>
      <c r="T22" s="5" t="s">
        <v>45</v>
      </c>
      <c r="W22" s="36"/>
    </row>
    <row r="23" spans="2:24">
      <c r="N23" s="37"/>
      <c r="O23" s="37" t="s">
        <v>3</v>
      </c>
      <c r="P23" s="38" t="s">
        <v>46</v>
      </c>
      <c r="Q23" s="39" t="s">
        <v>47</v>
      </c>
      <c r="R23" s="204" t="s">
        <v>48</v>
      </c>
      <c r="S23" s="204"/>
      <c r="T23" s="38" t="s">
        <v>46</v>
      </c>
      <c r="U23" s="39" t="s">
        <v>47</v>
      </c>
      <c r="V23" s="38" t="s">
        <v>48</v>
      </c>
      <c r="W23" s="36" t="s">
        <v>50</v>
      </c>
    </row>
    <row r="24" spans="2:24">
      <c r="N24" s="40"/>
      <c r="O24" s="31">
        <f>ROUNDDOWN(IF(C4="介護該当",M4*国デ!$B$4/100,0),0)</f>
        <v>0</v>
      </c>
      <c r="P24" s="31">
        <f>IF(C4="介護該当",国デ!$C$4,0)</f>
        <v>0</v>
      </c>
      <c r="Q24" s="41">
        <f>IF($C$18=国デ!$A$8,P24*国デ!$Q$8,IF($C$18=国デ!$A$9,P24*国デ!$Q$9,IF($C$18=国デ!$A$10,P24*国デ!$Q$10,0)))</f>
        <v>0</v>
      </c>
      <c r="R24" s="203">
        <f>P24-Q24</f>
        <v>0</v>
      </c>
      <c r="S24" s="203"/>
      <c r="T24" s="201">
        <f>IF(C10&gt;0,国デ!D4,0)</f>
        <v>0</v>
      </c>
      <c r="U24" s="202">
        <f>IF($C$18=国デ!$A$8,T24*国デ!$Q$8,IF($C$18=国デ!$A$9,T24*国デ!$Q$9,IF($C$18=国デ!$A$10,T24*国デ!$Q$10,0)))</f>
        <v>0</v>
      </c>
      <c r="V24" s="203">
        <f>T24-U24</f>
        <v>0</v>
      </c>
      <c r="W24" s="36"/>
    </row>
    <row r="25" spans="2:24">
      <c r="N25" s="40"/>
      <c r="O25" s="31">
        <f>ROUNDDOWN(IF(C5="介護該当",M5*国デ!$B$4/100,0),0)</f>
        <v>0</v>
      </c>
      <c r="P25" s="31">
        <f>IF(C5="介護該当",国デ!$C$4,0)</f>
        <v>0</v>
      </c>
      <c r="Q25" s="41">
        <f>IF($C$18=国デ!$A$8,P25*国デ!$Q$8,IF($C$18=国デ!$A$9,P25*国デ!$Q$9,IF($C$18=国デ!$A$10,P25*国デ!$Q$10,0)))</f>
        <v>0</v>
      </c>
      <c r="R25" s="203">
        <f t="shared" ref="R25:R29" si="7">P25-Q25</f>
        <v>0</v>
      </c>
      <c r="S25" s="203"/>
      <c r="T25" s="201"/>
      <c r="U25" s="202"/>
      <c r="V25" s="203"/>
      <c r="W25" s="36"/>
    </row>
    <row r="26" spans="2:24">
      <c r="N26" s="40"/>
      <c r="O26" s="31">
        <f>ROUNDDOWN(IF(C6="介護該当",M6*国デ!$B$4/100,0),0)</f>
        <v>0</v>
      </c>
      <c r="P26" s="31">
        <f>IF(C6="介護該当",国デ!$C$4,0)</f>
        <v>0</v>
      </c>
      <c r="Q26" s="41">
        <f>IF($C$18=国デ!$A$8,P26*国デ!$Q$8,IF($C$18=国デ!$A$9,P26*国デ!$Q$9,IF($C$18=国デ!$A$10,P26*国デ!$Q$10,0)))</f>
        <v>0</v>
      </c>
      <c r="R26" s="203">
        <f t="shared" si="7"/>
        <v>0</v>
      </c>
      <c r="S26" s="203"/>
      <c r="T26" s="201"/>
      <c r="U26" s="202"/>
      <c r="V26" s="203"/>
      <c r="W26" s="36"/>
    </row>
    <row r="27" spans="2:24">
      <c r="N27" s="40"/>
      <c r="O27" s="31">
        <f>ROUNDDOWN(IF(C7="介護該当",M7*国デ!$B$4/100,0),0)</f>
        <v>0</v>
      </c>
      <c r="P27" s="31">
        <f>IF(C7="介護該当",国デ!$C$4,0)</f>
        <v>0</v>
      </c>
      <c r="Q27" s="41">
        <f>IF($C$18=国デ!$A$8,P27*国デ!$Q$8,IF($C$18=国デ!$A$9,P27*国デ!$Q$9,IF($C$18=国デ!$A$10,P27*国デ!$Q$10,0)))</f>
        <v>0</v>
      </c>
      <c r="R27" s="203">
        <f t="shared" si="7"/>
        <v>0</v>
      </c>
      <c r="S27" s="203"/>
      <c r="T27" s="201"/>
      <c r="U27" s="202"/>
      <c r="V27" s="203"/>
      <c r="W27" s="36"/>
    </row>
    <row r="28" spans="2:24">
      <c r="N28" s="40"/>
      <c r="O28" s="31">
        <f>ROUNDDOWN(IF(C8="介護該当",M8*国デ!$B$4/100,0),0)</f>
        <v>0</v>
      </c>
      <c r="P28" s="31">
        <f>IF(C8="介護該当",国デ!$C$4,0)</f>
        <v>0</v>
      </c>
      <c r="Q28" s="41">
        <f>IF($C$18=国デ!$A$8,P28*国デ!$Q$8,IF($C$18=国デ!$A$9,P28*国デ!$Q$9,IF($C$18=国デ!$A$10,P28*国デ!$Q$10,0)))</f>
        <v>0</v>
      </c>
      <c r="R28" s="203">
        <f t="shared" si="7"/>
        <v>0</v>
      </c>
      <c r="S28" s="203"/>
      <c r="T28" s="201"/>
      <c r="U28" s="202"/>
      <c r="V28" s="203"/>
      <c r="W28" s="36"/>
    </row>
    <row r="29" spans="2:24">
      <c r="N29" s="40"/>
      <c r="O29" s="31">
        <f>ROUNDDOWN(IF(C9="介護該当",M9*国デ!$B$4/100,0),0)</f>
        <v>0</v>
      </c>
      <c r="P29" s="31">
        <f>IF(C9="介護該当",国デ!$C$4,0)</f>
        <v>0</v>
      </c>
      <c r="Q29" s="41">
        <f>IF($C$18=国デ!$A$8,P29*国デ!$Q$8,IF($C$18=国デ!$A$9,P29*国デ!$Q$9,IF($C$18=国デ!$A$10,P29*国デ!$Q$10,0)))</f>
        <v>0</v>
      </c>
      <c r="R29" s="203">
        <f t="shared" si="7"/>
        <v>0</v>
      </c>
      <c r="S29" s="203"/>
      <c r="T29" s="201"/>
      <c r="U29" s="202"/>
      <c r="V29" s="203"/>
      <c r="W29" s="36"/>
    </row>
    <row r="30" spans="2:24">
      <c r="O30" s="43">
        <f>SUM(O24:O29)</f>
        <v>0</v>
      </c>
      <c r="P30" s="14"/>
      <c r="Q30" s="18"/>
      <c r="R30" s="31"/>
      <c r="S30" s="43">
        <f>SUM(R24:S29)</f>
        <v>0</v>
      </c>
      <c r="T30" s="22"/>
      <c r="U30" s="42"/>
      <c r="V30" s="43">
        <f>SUM(V24:V29)</f>
        <v>0</v>
      </c>
      <c r="W30" s="44">
        <f>O30+S30+V30</f>
        <v>0</v>
      </c>
      <c r="X30" s="19" t="s">
        <v>57</v>
      </c>
    </row>
    <row r="31" spans="2:24">
      <c r="V31" s="34" t="s">
        <v>65</v>
      </c>
      <c r="W31" s="78">
        <f>ROUNDDOWN(W30,-2)</f>
        <v>0</v>
      </c>
      <c r="X31" s="79">
        <f>IF(W31&gt;国デ!F4,国デ!F4,W31)</f>
        <v>0</v>
      </c>
    </row>
    <row r="32" spans="2:24">
      <c r="B32" s="45"/>
      <c r="C32" s="45"/>
      <c r="D32" s="45"/>
    </row>
    <row r="33" spans="15:23">
      <c r="O33" s="44"/>
      <c r="S33" s="44"/>
      <c r="V33" s="48" t="s">
        <v>56</v>
      </c>
      <c r="W33" s="44">
        <f>X11+X21+X31</f>
        <v>0</v>
      </c>
    </row>
  </sheetData>
  <mergeCells count="16">
    <mergeCell ref="V4:V9"/>
    <mergeCell ref="T14:T19"/>
    <mergeCell ref="U14:U19"/>
    <mergeCell ref="V14:V19"/>
    <mergeCell ref="T4:T9"/>
    <mergeCell ref="U4:U9"/>
    <mergeCell ref="T24:T29"/>
    <mergeCell ref="U24:U29"/>
    <mergeCell ref="V24:V29"/>
    <mergeCell ref="R23:S23"/>
    <mergeCell ref="R24:S24"/>
    <mergeCell ref="R25:S25"/>
    <mergeCell ref="R26:S26"/>
    <mergeCell ref="R27:S27"/>
    <mergeCell ref="R28:S28"/>
    <mergeCell ref="R29:S29"/>
  </mergeCells>
  <phoneticPr fontId="1"/>
  <pageMargins left="0.7" right="0.7" top="0.75" bottom="0.75" header="0.3" footer="0.3"/>
  <pageSetup paperSize="9"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1"/>
  <sheetViews>
    <sheetView workbookViewId="0">
      <selection activeCell="A15" sqref="A15:D16"/>
    </sheetView>
  </sheetViews>
  <sheetFormatPr defaultRowHeight="18.75"/>
  <cols>
    <col min="1" max="2" width="11" bestFit="1" customWidth="1"/>
    <col min="3" max="3" width="2.875" bestFit="1" customWidth="1"/>
    <col min="4" max="4" width="13" bestFit="1" customWidth="1"/>
    <col min="5" max="5" width="3.75" bestFit="1" customWidth="1"/>
    <col min="6" max="6" width="12" customWidth="1"/>
    <col min="7" max="7" width="12" style="1" customWidth="1"/>
    <col min="10" max="10" width="3.375" customWidth="1"/>
    <col min="13" max="13" width="3.375" bestFit="1" customWidth="1"/>
    <col min="15" max="15" width="5.25" bestFit="1" customWidth="1"/>
    <col min="17" max="17" width="4.5" bestFit="1" customWidth="1"/>
  </cols>
  <sheetData>
    <row r="1" spans="1:17">
      <c r="A1" s="91" t="s">
        <v>10</v>
      </c>
      <c r="B1" s="89">
        <v>43200</v>
      </c>
      <c r="D1" s="92"/>
      <c r="E1" s="94"/>
      <c r="F1" s="95"/>
      <c r="G1" s="95"/>
      <c r="H1" s="95"/>
      <c r="K1" s="52" t="s">
        <v>58</v>
      </c>
      <c r="L1" s="7">
        <v>150000</v>
      </c>
    </row>
    <row r="2" spans="1:17">
      <c r="A2" s="91" t="s">
        <v>78</v>
      </c>
      <c r="B2" s="90">
        <v>8.5399999999999991</v>
      </c>
      <c r="D2" s="93"/>
      <c r="E2" s="94"/>
      <c r="F2" s="69"/>
      <c r="G2" s="77"/>
      <c r="H2" s="77"/>
    </row>
    <row r="3" spans="1:17">
      <c r="A3" s="91" t="s">
        <v>79</v>
      </c>
      <c r="B3" s="89">
        <v>660000</v>
      </c>
      <c r="D3" s="93"/>
      <c r="E3" s="94"/>
      <c r="F3" s="96"/>
      <c r="G3" s="97"/>
      <c r="H3" s="77"/>
    </row>
    <row r="4" spans="1:17">
      <c r="D4" s="93"/>
      <c r="E4" s="94"/>
      <c r="F4" s="98"/>
      <c r="G4" s="77"/>
      <c r="H4" s="77"/>
    </row>
    <row r="5" spans="1:17">
      <c r="D5" s="93"/>
      <c r="E5" s="94"/>
      <c r="F5" s="98"/>
      <c r="G5" s="69"/>
      <c r="H5" s="69"/>
    </row>
    <row r="8" spans="1:17" s="45" customFormat="1">
      <c r="A8" s="57" t="s">
        <v>60</v>
      </c>
      <c r="F8" s="45" t="s">
        <v>17</v>
      </c>
      <c r="J8" s="45" t="s">
        <v>14</v>
      </c>
    </row>
    <row r="9" spans="1:17" s="45" customFormat="1">
      <c r="A9" s="60" t="str">
        <f>Q9*10&amp;"割軽減"</f>
        <v>7割軽減</v>
      </c>
      <c r="B9" s="7">
        <v>430000</v>
      </c>
      <c r="G9" s="45" t="s">
        <v>12</v>
      </c>
      <c r="H9" s="7">
        <v>100000</v>
      </c>
      <c r="I9" s="45" t="s">
        <v>15</v>
      </c>
      <c r="J9" s="45" t="s">
        <v>23</v>
      </c>
      <c r="K9" s="45" t="s">
        <v>1</v>
      </c>
      <c r="L9" s="45">
        <v>1</v>
      </c>
      <c r="M9" s="9" t="s">
        <v>16</v>
      </c>
      <c r="N9" s="28">
        <v>10</v>
      </c>
      <c r="O9" s="45" t="s">
        <v>59</v>
      </c>
      <c r="P9" s="58">
        <v>7</v>
      </c>
      <c r="Q9" s="59">
        <f>P9/N9</f>
        <v>0.7</v>
      </c>
    </row>
    <row r="10" spans="1:17" s="45" customFormat="1">
      <c r="A10" s="60" t="str">
        <f t="shared" ref="A10:A11" si="0">Q10*10&amp;"割軽減"</f>
        <v>5割軽減</v>
      </c>
      <c r="B10" s="7">
        <v>430000</v>
      </c>
      <c r="C10" s="45" t="s">
        <v>12</v>
      </c>
      <c r="D10" s="7">
        <v>290000</v>
      </c>
      <c r="E10" s="45" t="s">
        <v>13</v>
      </c>
      <c r="F10" s="21" t="s">
        <v>24</v>
      </c>
      <c r="G10" s="45" t="s">
        <v>12</v>
      </c>
      <c r="H10" s="7">
        <v>100000</v>
      </c>
      <c r="I10" s="45" t="s">
        <v>15</v>
      </c>
      <c r="J10" s="45" t="s">
        <v>23</v>
      </c>
      <c r="K10" s="45" t="s">
        <v>1</v>
      </c>
      <c r="L10" s="45">
        <v>1</v>
      </c>
      <c r="M10" s="9" t="s">
        <v>16</v>
      </c>
      <c r="N10" s="28">
        <v>10</v>
      </c>
      <c r="O10" s="45" t="s">
        <v>59</v>
      </c>
      <c r="P10" s="58">
        <v>5</v>
      </c>
      <c r="Q10" s="59">
        <f t="shared" ref="Q10:Q11" si="1">P10/N10</f>
        <v>0.5</v>
      </c>
    </row>
    <row r="11" spans="1:17" s="45" customFormat="1">
      <c r="A11" s="60" t="str">
        <f t="shared" si="0"/>
        <v>2割軽減</v>
      </c>
      <c r="B11" s="7">
        <v>430000</v>
      </c>
      <c r="C11" s="45" t="s">
        <v>12</v>
      </c>
      <c r="D11" s="7">
        <v>535000</v>
      </c>
      <c r="E11" s="45" t="s">
        <v>13</v>
      </c>
      <c r="F11" s="21" t="s">
        <v>24</v>
      </c>
      <c r="G11" s="45" t="s">
        <v>12</v>
      </c>
      <c r="H11" s="7">
        <v>100000</v>
      </c>
      <c r="I11" s="45" t="s">
        <v>15</v>
      </c>
      <c r="J11" s="45" t="s">
        <v>23</v>
      </c>
      <c r="K11" s="45" t="s">
        <v>1</v>
      </c>
      <c r="L11" s="45">
        <v>1</v>
      </c>
      <c r="M11" s="9" t="s">
        <v>16</v>
      </c>
      <c r="N11" s="28">
        <v>10</v>
      </c>
      <c r="O11" s="45" t="s">
        <v>59</v>
      </c>
      <c r="P11" s="58">
        <v>2</v>
      </c>
      <c r="Q11" s="59">
        <f t="shared" si="1"/>
        <v>0.2</v>
      </c>
    </row>
  </sheetData>
  <phoneticPr fontId="1"/>
  <pageMargins left="0.7" right="0.7" top="0.75" bottom="0.75" header="0.3" footer="0.3"/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34"/>
  <sheetViews>
    <sheetView zoomScale="85" zoomScaleNormal="85" workbookViewId="0">
      <selection activeCell="A15" sqref="A15:D16"/>
    </sheetView>
  </sheetViews>
  <sheetFormatPr defaultRowHeight="18.75"/>
  <cols>
    <col min="1" max="1" width="9" style="5"/>
    <col min="2" max="2" width="6.75" style="45" bestFit="1" customWidth="1"/>
    <col min="3" max="3" width="10.5" style="45" bestFit="1" customWidth="1"/>
    <col min="4" max="4" width="9.875" style="45" bestFit="1" customWidth="1"/>
    <col min="5" max="5" width="9.875" style="13" customWidth="1"/>
    <col min="6" max="6" width="9" style="5" bestFit="1" customWidth="1"/>
    <col min="7" max="7" width="13.125" style="5" customWidth="1"/>
    <col min="8" max="8" width="11" style="5" bestFit="1" customWidth="1"/>
    <col min="9" max="9" width="10.5" style="5" customWidth="1"/>
    <col min="10" max="10" width="10.5" style="5" bestFit="1" customWidth="1"/>
    <col min="11" max="11" width="9.5" style="5" bestFit="1" customWidth="1"/>
    <col min="12" max="12" width="8" style="5" bestFit="1" customWidth="1"/>
    <col min="13" max="13" width="9.5" style="5" bestFit="1" customWidth="1"/>
    <col min="14" max="14" width="5" style="5" bestFit="1" customWidth="1"/>
    <col min="15" max="15" width="9" style="5" bestFit="1" customWidth="1"/>
    <col min="16" max="16" width="8" style="5" bestFit="1" customWidth="1"/>
    <col min="17" max="17" width="6.375" style="5" bestFit="1" customWidth="1"/>
    <col min="18" max="18" width="8" style="5" bestFit="1" customWidth="1"/>
    <col min="19" max="19" width="9.375" style="5" bestFit="1" customWidth="1"/>
    <col min="20" max="20" width="9.375" style="5" customWidth="1"/>
    <col min="21" max="21" width="6.375" style="5" bestFit="1" customWidth="1"/>
    <col min="22" max="22" width="7" style="5" bestFit="1" customWidth="1"/>
    <col min="23" max="23" width="10.5" style="5" customWidth="1"/>
    <col min="24" max="16384" width="9" style="5"/>
  </cols>
  <sheetData>
    <row r="1" spans="1:24">
      <c r="A1" s="5" t="s">
        <v>18</v>
      </c>
      <c r="B1" s="12"/>
      <c r="D1" s="13"/>
      <c r="E1" s="5"/>
    </row>
    <row r="2" spans="1:24">
      <c r="C2" s="13"/>
      <c r="D2" s="13"/>
      <c r="F2" s="13"/>
      <c r="G2" s="13"/>
      <c r="H2" s="13"/>
      <c r="I2" s="13"/>
      <c r="J2" s="13"/>
      <c r="K2" s="13"/>
      <c r="L2" s="13"/>
      <c r="M2" s="13"/>
      <c r="N2" s="13"/>
      <c r="O2" s="13" t="s">
        <v>54</v>
      </c>
      <c r="P2" s="5" t="s">
        <v>53</v>
      </c>
    </row>
    <row r="3" spans="1:24" s="45" customFormat="1" ht="37.5">
      <c r="A3" s="45" t="s">
        <v>5</v>
      </c>
      <c r="B3" s="45" t="s">
        <v>2</v>
      </c>
      <c r="D3" s="23" t="s">
        <v>39</v>
      </c>
      <c r="E3" s="23" t="s">
        <v>40</v>
      </c>
      <c r="F3" s="23" t="s">
        <v>38</v>
      </c>
      <c r="G3" s="29" t="s">
        <v>36</v>
      </c>
      <c r="H3" s="23" t="s">
        <v>26</v>
      </c>
      <c r="I3" s="23" t="s">
        <v>66</v>
      </c>
      <c r="J3" s="23" t="s">
        <v>67</v>
      </c>
      <c r="K3" s="23" t="s">
        <v>43</v>
      </c>
      <c r="L3" s="23" t="s">
        <v>44</v>
      </c>
      <c r="M3" s="3" t="s">
        <v>37</v>
      </c>
      <c r="O3" s="45" t="s">
        <v>3</v>
      </c>
      <c r="P3" s="3" t="s">
        <v>46</v>
      </c>
      <c r="Q3" s="4" t="s">
        <v>47</v>
      </c>
      <c r="R3" s="30" t="s">
        <v>48</v>
      </c>
      <c r="S3" s="30" t="s">
        <v>80</v>
      </c>
      <c r="T3" s="3"/>
      <c r="U3" s="4"/>
      <c r="V3" s="30"/>
      <c r="W3" s="5" t="s">
        <v>50</v>
      </c>
    </row>
    <row r="4" spans="1:24">
      <c r="A4" s="45" t="s">
        <v>4</v>
      </c>
      <c r="B4" s="70" t="str">
        <f>IF(入力画面!C3&gt;=75,入力画面!C3,"")</f>
        <v/>
      </c>
      <c r="C4" s="14"/>
      <c r="D4" s="15">
        <f>入力画面!D3</f>
        <v>0</v>
      </c>
      <c r="E4" s="15">
        <f>入力画面!E3</f>
        <v>0</v>
      </c>
      <c r="F4" s="15">
        <f>入力画面!F3</f>
        <v>0</v>
      </c>
      <c r="G4" s="15">
        <f>入力画面!G3</f>
        <v>0</v>
      </c>
      <c r="H4" s="24">
        <f t="shared" ref="H4:H9" si="0">SUM(D4:E4)</f>
        <v>0</v>
      </c>
      <c r="I4" s="15">
        <f>D4+IF(後デ!$L$1&lt;=E4,E4-後デ!$L$1,0)+F4</f>
        <v>0</v>
      </c>
      <c r="J4" s="15">
        <f t="shared" ref="J4:J9" si="1">IF(I4&lt;0,G4,I4+G4)</f>
        <v>0</v>
      </c>
      <c r="K4" s="15">
        <f t="shared" ref="K4:K9" si="2">SUM(D4:F4)</f>
        <v>0</v>
      </c>
      <c r="L4" s="15">
        <f>IF(J4&lt;=国デ!$O$2,国デ!$P$2,IF(AND(国デ!$N$3&lt;J4,J4&lt;=国デ!$O$3),国デ!$P$3,IF(AND(国デ!$N$4&lt;J4,J4&lt;=国デ!$O$4),国デ!$P$4,0)))</f>
        <v>430000</v>
      </c>
      <c r="M4" s="16">
        <f>IF(K4-L4&lt;0,0,K4-L4)</f>
        <v>0</v>
      </c>
      <c r="N4" s="17"/>
      <c r="O4" s="14">
        <f>ROUNDDOWN(M4*後デ!$B$2/100,0)</f>
        <v>0</v>
      </c>
      <c r="P4" s="14" t="str">
        <f>IF(B4="","",後デ!$B$1)</f>
        <v/>
      </c>
      <c r="Q4" s="18" t="str">
        <f>IF(B4="","",IF($C$18=後デ!$A$9,P4*後デ!$Q$9,IF($C$18=後デ!$A$10,P4*後デ!$Q$10,IF($C$18=後デ!$A$11,P4*後デ!$Q$11,0))))</f>
        <v/>
      </c>
      <c r="R4" s="31" t="str">
        <f>IF(B4="","",P4-Q4)</f>
        <v/>
      </c>
      <c r="S4" s="31" t="str">
        <f>IF(B4="","",ROUNDDOWN(O4+R4,-2))</f>
        <v/>
      </c>
      <c r="T4" s="14"/>
      <c r="U4" s="198"/>
      <c r="V4" s="199"/>
    </row>
    <row r="5" spans="1:24">
      <c r="A5" s="45" t="s">
        <v>27</v>
      </c>
      <c r="B5" s="70" t="str">
        <f>IF(入力画面!C4&gt;=75,入力画面!C4,"")</f>
        <v/>
      </c>
      <c r="C5" s="14"/>
      <c r="D5" s="15">
        <f>入力画面!D4</f>
        <v>0</v>
      </c>
      <c r="E5" s="15">
        <f>入力画面!E4</f>
        <v>0</v>
      </c>
      <c r="F5" s="15">
        <f>入力画面!F4</f>
        <v>0</v>
      </c>
      <c r="G5" s="15">
        <f>入力画面!G4</f>
        <v>0</v>
      </c>
      <c r="H5" s="24">
        <f t="shared" si="0"/>
        <v>0</v>
      </c>
      <c r="I5" s="15">
        <f>D5+IF(後デ!$L$1&lt;=E5,E5-後デ!$L$1,0)+F5</f>
        <v>0</v>
      </c>
      <c r="J5" s="15">
        <f t="shared" si="1"/>
        <v>0</v>
      </c>
      <c r="K5" s="15">
        <f t="shared" si="2"/>
        <v>0</v>
      </c>
      <c r="L5" s="15">
        <f>IF(J5&lt;=国デ!$O$2,国デ!$P$2,IF(AND(国デ!$N$3&lt;J5,J5&lt;=国デ!$O$3),国デ!$P$3,IF(AND(国デ!$N$4&lt;J5,J5&lt;=国デ!$O$4),国デ!$P$4,0)))</f>
        <v>430000</v>
      </c>
      <c r="M5" s="16">
        <f t="shared" ref="M5:M9" si="3">IF(K5-L5&lt;0,0,K5-L5)</f>
        <v>0</v>
      </c>
      <c r="N5" s="17"/>
      <c r="O5" s="14">
        <f>ROUNDDOWN(M5*後デ!$B$2/100,0)</f>
        <v>0</v>
      </c>
      <c r="P5" s="14" t="str">
        <f>IF(B5="","",後デ!$B$1)</f>
        <v/>
      </c>
      <c r="Q5" s="18" t="str">
        <f>IF(B5="","",IF($C$18=後デ!$A$9,P5*後デ!$Q$9,IF($C$18=後デ!$A$10,P5*後デ!$Q$10,IF($C$18=後デ!$A$11,P5*後デ!$Q$11,0))))</f>
        <v/>
      </c>
      <c r="R5" s="31" t="str">
        <f t="shared" ref="R5:R11" si="4">IF(B5="","",P5-Q5)</f>
        <v/>
      </c>
      <c r="S5" s="31" t="str">
        <f t="shared" ref="S5:S11" si="5">IF(B5="","",ROUNDDOWN(O5+R5,-2))</f>
        <v/>
      </c>
      <c r="T5" s="14"/>
      <c r="U5" s="198"/>
      <c r="V5" s="199"/>
    </row>
    <row r="6" spans="1:24">
      <c r="A6" s="45" t="s">
        <v>28</v>
      </c>
      <c r="B6" s="70" t="str">
        <f>IF(入力画面!C5&gt;=75,入力画面!C5,"")</f>
        <v/>
      </c>
      <c r="C6" s="14"/>
      <c r="D6" s="15">
        <f>入力画面!D5</f>
        <v>0</v>
      </c>
      <c r="E6" s="15">
        <f>入力画面!E5</f>
        <v>0</v>
      </c>
      <c r="F6" s="15">
        <f>入力画面!F5</f>
        <v>0</v>
      </c>
      <c r="G6" s="15">
        <f>入力画面!G5</f>
        <v>0</v>
      </c>
      <c r="H6" s="24">
        <f t="shared" si="0"/>
        <v>0</v>
      </c>
      <c r="I6" s="15">
        <f>D6+IF(後デ!$L$1&lt;=E6,E6-後デ!$L$1,0)+F6</f>
        <v>0</v>
      </c>
      <c r="J6" s="15">
        <f t="shared" si="1"/>
        <v>0</v>
      </c>
      <c r="K6" s="15">
        <f t="shared" si="2"/>
        <v>0</v>
      </c>
      <c r="L6" s="15">
        <f>IF(J6&lt;=国デ!$O$2,国デ!$P$2,IF(AND(国デ!$N$3&lt;J6,J6&lt;=国デ!$O$3),国デ!$P$3,IF(AND(国デ!$N$4&lt;J6,J6&lt;=国デ!$O$4),国デ!$P$4,0)))</f>
        <v>430000</v>
      </c>
      <c r="M6" s="16">
        <f t="shared" si="3"/>
        <v>0</v>
      </c>
      <c r="N6" s="17"/>
      <c r="O6" s="14">
        <f>ROUNDDOWN(M6*後デ!$B$2/100,0)</f>
        <v>0</v>
      </c>
      <c r="P6" s="14" t="str">
        <f>IF(B6="","",後デ!$B$1)</f>
        <v/>
      </c>
      <c r="Q6" s="18" t="str">
        <f>IF(B6="","",IF($C$18=後デ!$A$9,P6*後デ!$Q$9,IF($C$18=後デ!$A$10,P6*後デ!$Q$10,IF($C$18=後デ!$A$11,P6*後デ!$Q$11,0))))</f>
        <v/>
      </c>
      <c r="R6" s="31" t="str">
        <f t="shared" si="4"/>
        <v/>
      </c>
      <c r="S6" s="31" t="str">
        <f t="shared" si="5"/>
        <v/>
      </c>
      <c r="T6" s="14"/>
      <c r="U6" s="198"/>
      <c r="V6" s="199"/>
    </row>
    <row r="7" spans="1:24">
      <c r="A7" s="45" t="s">
        <v>29</v>
      </c>
      <c r="B7" s="70" t="str">
        <f>IF(入力画面!C6&gt;=75,入力画面!C6,"")</f>
        <v/>
      </c>
      <c r="C7" s="14"/>
      <c r="D7" s="15">
        <f>入力画面!D6</f>
        <v>0</v>
      </c>
      <c r="E7" s="15">
        <f>入力画面!E6</f>
        <v>0</v>
      </c>
      <c r="F7" s="15">
        <f>入力画面!F6</f>
        <v>0</v>
      </c>
      <c r="G7" s="15">
        <f>入力画面!G6</f>
        <v>0</v>
      </c>
      <c r="H7" s="24">
        <f t="shared" si="0"/>
        <v>0</v>
      </c>
      <c r="I7" s="15">
        <f>D7+IF(後デ!$L$1&lt;=E7,E7-後デ!$L$1,0)+F7</f>
        <v>0</v>
      </c>
      <c r="J7" s="15">
        <f t="shared" si="1"/>
        <v>0</v>
      </c>
      <c r="K7" s="15">
        <f t="shared" si="2"/>
        <v>0</v>
      </c>
      <c r="L7" s="15">
        <f>IF(J7&lt;=国デ!$O$2,国デ!$P$2,IF(AND(国デ!$N$3&lt;J7,J7&lt;=国デ!$O$3),国デ!$P$3,IF(AND(国デ!$N$4&lt;J7,J7&lt;=国デ!$O$4),国デ!$P$4,0)))</f>
        <v>430000</v>
      </c>
      <c r="M7" s="16">
        <f t="shared" si="3"/>
        <v>0</v>
      </c>
      <c r="N7" s="17"/>
      <c r="O7" s="14">
        <f>ROUNDDOWN(M7*後デ!$B$2/100,0)</f>
        <v>0</v>
      </c>
      <c r="P7" s="14" t="str">
        <f>IF(B7="","",後デ!$B$1)</f>
        <v/>
      </c>
      <c r="Q7" s="18" t="str">
        <f>IF(B7="","",IF($C$18=後デ!$A$9,P7*後デ!$Q$9,IF($C$18=後デ!$A$10,P7*後デ!$Q$10,IF($C$18=後デ!$A$11,P7*後デ!$Q$11,0))))</f>
        <v/>
      </c>
      <c r="R7" s="31" t="str">
        <f t="shared" si="4"/>
        <v/>
      </c>
      <c r="S7" s="31" t="str">
        <f t="shared" si="5"/>
        <v/>
      </c>
      <c r="T7" s="14"/>
      <c r="U7" s="198"/>
      <c r="V7" s="199"/>
    </row>
    <row r="8" spans="1:24">
      <c r="A8" s="45" t="s">
        <v>30</v>
      </c>
      <c r="B8" s="70" t="str">
        <f>IF(入力画面!C7&gt;=75,入力画面!C7,"")</f>
        <v/>
      </c>
      <c r="C8" s="14"/>
      <c r="D8" s="15">
        <f>入力画面!D7</f>
        <v>0</v>
      </c>
      <c r="E8" s="15">
        <f>入力画面!E7</f>
        <v>0</v>
      </c>
      <c r="F8" s="15">
        <f>入力画面!F7</f>
        <v>0</v>
      </c>
      <c r="G8" s="15">
        <f>入力画面!G7</f>
        <v>0</v>
      </c>
      <c r="H8" s="24">
        <f t="shared" si="0"/>
        <v>0</v>
      </c>
      <c r="I8" s="15">
        <f>D8+IF(後デ!$L$1&lt;=E8,E8-後デ!$L$1,0)+F8</f>
        <v>0</v>
      </c>
      <c r="J8" s="15">
        <f t="shared" si="1"/>
        <v>0</v>
      </c>
      <c r="K8" s="15">
        <f t="shared" si="2"/>
        <v>0</v>
      </c>
      <c r="L8" s="15">
        <f>IF(J8&lt;=国デ!$O$2,国デ!$P$2,IF(AND(国デ!$N$3&lt;J8,J8&lt;=国デ!$O$3),国デ!$P$3,IF(AND(国デ!$N$4&lt;J8,J8&lt;=国デ!$O$4),国デ!$P$4,0)))</f>
        <v>430000</v>
      </c>
      <c r="M8" s="16">
        <f t="shared" si="3"/>
        <v>0</v>
      </c>
      <c r="N8" s="17"/>
      <c r="O8" s="14">
        <f>ROUNDDOWN(M8*後デ!$B$2/100,0)</f>
        <v>0</v>
      </c>
      <c r="P8" s="14" t="str">
        <f>IF(B8="","",後デ!$B$1)</f>
        <v/>
      </c>
      <c r="Q8" s="18" t="str">
        <f>IF(B8="","",IF($C$18=後デ!$A$9,P8*後デ!$Q$9,IF($C$18=後デ!$A$10,P8*後デ!$Q$10,IF($C$18=後デ!$A$11,P8*後デ!$Q$11,0))))</f>
        <v/>
      </c>
      <c r="R8" s="31" t="str">
        <f t="shared" si="4"/>
        <v/>
      </c>
      <c r="S8" s="31" t="str">
        <f t="shared" si="5"/>
        <v/>
      </c>
      <c r="T8" s="14"/>
      <c r="U8" s="198"/>
      <c r="V8" s="199"/>
    </row>
    <row r="9" spans="1:24">
      <c r="A9" s="45" t="s">
        <v>31</v>
      </c>
      <c r="B9" s="70" t="str">
        <f>IF(入力画面!C8&gt;=75,入力画面!C8,"")</f>
        <v/>
      </c>
      <c r="C9" s="14"/>
      <c r="D9" s="15">
        <f>入力画面!D8</f>
        <v>0</v>
      </c>
      <c r="E9" s="15">
        <f>入力画面!E8</f>
        <v>0</v>
      </c>
      <c r="F9" s="15">
        <f>入力画面!F8</f>
        <v>0</v>
      </c>
      <c r="G9" s="15">
        <f>入力画面!G8</f>
        <v>0</v>
      </c>
      <c r="H9" s="24">
        <f t="shared" si="0"/>
        <v>0</v>
      </c>
      <c r="I9" s="15">
        <f>D9+IF(後デ!$L$1&lt;=E9,E9-後デ!$L$1,0)+F9</f>
        <v>0</v>
      </c>
      <c r="J9" s="15">
        <f t="shared" si="1"/>
        <v>0</v>
      </c>
      <c r="K9" s="15">
        <f t="shared" si="2"/>
        <v>0</v>
      </c>
      <c r="L9" s="15">
        <f>IF(J9&lt;=国デ!$O$2,国デ!$P$2,IF(AND(国デ!$N$3&lt;J9,J9&lt;=国デ!$O$3),国デ!$P$3,IF(AND(国デ!$N$4&lt;J9,J9&lt;=国デ!$O$4),国デ!$P$4,0)))</f>
        <v>430000</v>
      </c>
      <c r="M9" s="16">
        <f t="shared" si="3"/>
        <v>0</v>
      </c>
      <c r="N9" s="17"/>
      <c r="O9" s="14">
        <f>ROUNDDOWN(M9*後デ!$B$2/100,0)</f>
        <v>0</v>
      </c>
      <c r="P9" s="14" t="str">
        <f>IF(B9="","",後デ!$B$1)</f>
        <v/>
      </c>
      <c r="Q9" s="18" t="str">
        <f>IF(B9="","",IF($C$18=後デ!$A$9,P9*後デ!$Q$9,IF($C$18=後デ!$A$10,P9*後デ!$Q$10,IF($C$18=後デ!$A$11,P9*後デ!$Q$11,0))))</f>
        <v/>
      </c>
      <c r="R9" s="31" t="str">
        <f t="shared" si="4"/>
        <v/>
      </c>
      <c r="S9" s="31" t="str">
        <f t="shared" si="5"/>
        <v/>
      </c>
      <c r="T9" s="14"/>
      <c r="U9" s="198"/>
      <c r="V9" s="199"/>
    </row>
    <row r="10" spans="1:24">
      <c r="C10" s="49"/>
      <c r="D10" s="15"/>
      <c r="E10" s="15"/>
      <c r="F10" s="71"/>
      <c r="G10" s="71"/>
      <c r="K10" s="14"/>
      <c r="L10" s="14"/>
      <c r="N10" s="17"/>
      <c r="P10" s="14"/>
      <c r="Q10" s="18"/>
      <c r="R10" s="31"/>
      <c r="S10" s="43"/>
      <c r="T10" s="50"/>
      <c r="U10" s="51"/>
      <c r="V10" s="43"/>
      <c r="W10" s="44">
        <f>O13+S10+V10</f>
        <v>0</v>
      </c>
      <c r="X10" s="45" t="s">
        <v>57</v>
      </c>
    </row>
    <row r="11" spans="1:24">
      <c r="A11" s="3" t="s">
        <v>20</v>
      </c>
      <c r="B11" s="70" t="str">
        <f>IF(入力画面!C10&gt;=75,入力画面!C10,"")</f>
        <v/>
      </c>
      <c r="C11" s="13"/>
      <c r="D11" s="15">
        <f>入力画面!D10</f>
        <v>0</v>
      </c>
      <c r="E11" s="15">
        <f>入力画面!E10</f>
        <v>0</v>
      </c>
      <c r="F11" s="80">
        <f>入力画面!F10</f>
        <v>0</v>
      </c>
      <c r="G11" s="15">
        <f>入力画面!G10</f>
        <v>0</v>
      </c>
      <c r="H11" s="24">
        <f>SUM(D11:E11)</f>
        <v>0</v>
      </c>
      <c r="I11" s="15">
        <f>D11+IF(後デ!$L$1&lt;=E11,E11-後デ!$L$1,0)+F11</f>
        <v>0</v>
      </c>
      <c r="J11" s="15">
        <f>IF(I11&lt;0,G11,I11+G11)</f>
        <v>0</v>
      </c>
      <c r="K11" s="15">
        <f t="shared" ref="K11" si="6">SUM(D11:F11)</f>
        <v>0</v>
      </c>
      <c r="L11" s="15">
        <f>IF(J11&lt;=国デ!$O$2,国デ!$P$2,IF(AND(国デ!$N$3&lt;J11,J11&lt;=国デ!$O$3),国デ!$P$3,IF(AND(国デ!$N$4&lt;J11,J11&lt;=国デ!$O$4),国デ!$P$4,0)))</f>
        <v>430000</v>
      </c>
      <c r="M11" s="16">
        <f t="shared" ref="M11" si="7">IF(K11-L11&lt;0,0,K11-L11)</f>
        <v>0</v>
      </c>
      <c r="N11" s="17"/>
      <c r="O11" s="14">
        <f>ROUNDDOWN(M11*後デ!$B$2/100,0)</f>
        <v>0</v>
      </c>
      <c r="P11" s="14" t="str">
        <f>IF(B11="","",後デ!$B$1)</f>
        <v/>
      </c>
      <c r="Q11" s="18" t="str">
        <f>IF(B11="","",IF($C$18=後デ!$A$9,P11*後デ!$Q$9,IF($C$18=後デ!$A$10,P11*後デ!$Q$10,IF($C$18=後デ!$A$11,P11*後デ!$Q$11,0))))</f>
        <v/>
      </c>
      <c r="R11" s="31" t="str">
        <f t="shared" si="4"/>
        <v/>
      </c>
      <c r="S11" s="31" t="str">
        <f t="shared" si="5"/>
        <v/>
      </c>
      <c r="T11" s="34"/>
      <c r="U11" s="33"/>
      <c r="V11" s="34"/>
      <c r="W11" s="78">
        <f>ROUNDDOWN(W10,-2)</f>
        <v>0</v>
      </c>
      <c r="X11" s="103">
        <f>IF(W11&gt;国デ!F2,国デ!F2,W11)</f>
        <v>0</v>
      </c>
    </row>
    <row r="12" spans="1:24">
      <c r="A12" s="27" t="s">
        <v>17</v>
      </c>
      <c r="B12" s="70">
        <f>COUNTIF(B4:B11,"&gt;=0")</f>
        <v>0</v>
      </c>
      <c r="D12" s="13"/>
      <c r="E12" s="5"/>
      <c r="H12" s="11">
        <f>COUNTIF(H4:H11,"&gt;0")</f>
        <v>0</v>
      </c>
      <c r="I12" s="14"/>
      <c r="J12" s="14">
        <f>SUM(J4:J11)</f>
        <v>0</v>
      </c>
      <c r="N12" s="104"/>
      <c r="O12" s="104"/>
      <c r="P12" s="68"/>
      <c r="Q12" s="68"/>
      <c r="R12" s="68"/>
      <c r="S12" s="68"/>
      <c r="T12" s="68"/>
      <c r="U12" s="68"/>
      <c r="V12" s="68"/>
      <c r="W12" s="68"/>
      <c r="X12" s="68"/>
    </row>
    <row r="13" spans="1:24">
      <c r="C13" s="45" t="s">
        <v>7</v>
      </c>
      <c r="M13" s="13"/>
      <c r="N13" s="69"/>
      <c r="O13" s="43">
        <f>SUM(O4:O9)</f>
        <v>0</v>
      </c>
      <c r="P13" s="105"/>
      <c r="Q13" s="106"/>
      <c r="R13" s="107"/>
      <c r="S13" s="107"/>
      <c r="T13" s="105"/>
      <c r="U13" s="106"/>
      <c r="V13" s="107"/>
      <c r="W13" s="68"/>
      <c r="X13" s="68"/>
    </row>
    <row r="14" spans="1:24">
      <c r="B14" s="19" t="s">
        <v>25</v>
      </c>
      <c r="C14" s="20">
        <f>J12</f>
        <v>0</v>
      </c>
      <c r="N14" s="108"/>
      <c r="O14" s="109"/>
      <c r="P14" s="109"/>
      <c r="Q14" s="110"/>
      <c r="R14" s="111"/>
      <c r="S14" s="111"/>
      <c r="T14" s="109"/>
      <c r="U14" s="110"/>
      <c r="V14" s="109"/>
      <c r="W14" s="68"/>
      <c r="X14" s="68"/>
    </row>
    <row r="15" spans="1:24">
      <c r="B15" s="50" t="str">
        <f>国デ!Q8*10&amp;"割ライン"</f>
        <v>7割ライン</v>
      </c>
      <c r="C15" s="14">
        <f>後デ!B9+後デ!H9*(IF(H12&gt;1,H12,1)-1)</f>
        <v>430000</v>
      </c>
      <c r="N15" s="108"/>
      <c r="O15" s="109"/>
      <c r="P15" s="109"/>
      <c r="Q15" s="110"/>
      <c r="R15" s="111"/>
      <c r="S15" s="111"/>
      <c r="T15" s="109"/>
      <c r="U15" s="110"/>
      <c r="V15" s="109"/>
      <c r="W15" s="68"/>
      <c r="X15" s="68"/>
    </row>
    <row r="16" spans="1:24">
      <c r="B16" s="50" t="str">
        <f>国デ!Q9*10&amp;"割ライン"</f>
        <v>5割ライン</v>
      </c>
      <c r="C16" s="14">
        <f>後デ!B10+後デ!D10*B12+後デ!H10*(IF(H12&gt;1,H12,1)-1)</f>
        <v>430000</v>
      </c>
      <c r="N16" s="108"/>
      <c r="O16" s="109"/>
      <c r="P16" s="109"/>
      <c r="Q16" s="110"/>
      <c r="R16" s="111"/>
      <c r="S16" s="111"/>
      <c r="T16" s="109"/>
      <c r="U16" s="110"/>
      <c r="V16" s="109"/>
      <c r="W16" s="68"/>
      <c r="X16" s="68"/>
    </row>
    <row r="17" spans="2:24">
      <c r="B17" s="50" t="str">
        <f>国デ!Q10*10&amp;"割ライン"</f>
        <v>2割ライン</v>
      </c>
      <c r="C17" s="14">
        <f>後デ!B11+後デ!D11*B12+後デ!H11*(IF(H12&gt;1,H12,1)-1)</f>
        <v>430000</v>
      </c>
      <c r="N17" s="108"/>
      <c r="O17" s="109"/>
      <c r="P17" s="109"/>
      <c r="Q17" s="110"/>
      <c r="R17" s="111"/>
      <c r="S17" s="111"/>
      <c r="T17" s="109"/>
      <c r="U17" s="110"/>
      <c r="V17" s="109"/>
      <c r="W17" s="68"/>
      <c r="X17" s="68"/>
    </row>
    <row r="18" spans="2:24">
      <c r="C18" s="11" t="str">
        <f>IF(C14&lt;=C15,国デ!A8,IF(C14&lt;=C16,国デ!A9,IF(C14&lt;=C17,国デ!A10,"軽減なし")))</f>
        <v>7割軽減</v>
      </c>
      <c r="N18" s="108"/>
      <c r="O18" s="109"/>
      <c r="P18" s="109"/>
      <c r="Q18" s="110"/>
      <c r="R18" s="111"/>
      <c r="S18" s="111"/>
      <c r="T18" s="109"/>
      <c r="U18" s="110"/>
      <c r="V18" s="109"/>
      <c r="W18" s="68"/>
      <c r="X18" s="68"/>
    </row>
    <row r="19" spans="2:24">
      <c r="N19" s="108"/>
      <c r="O19" s="109"/>
      <c r="P19" s="109"/>
      <c r="Q19" s="110"/>
      <c r="R19" s="111"/>
      <c r="S19" s="111"/>
      <c r="T19" s="109"/>
      <c r="U19" s="110"/>
      <c r="V19" s="109"/>
      <c r="W19" s="68"/>
      <c r="X19" s="68"/>
    </row>
    <row r="20" spans="2:24">
      <c r="N20" s="108"/>
      <c r="O20" s="112"/>
      <c r="P20" s="109"/>
      <c r="Q20" s="110"/>
      <c r="R20" s="111"/>
      <c r="S20" s="112"/>
      <c r="T20" s="113"/>
      <c r="U20" s="114"/>
      <c r="V20" s="112"/>
      <c r="W20" s="102"/>
      <c r="X20" s="115"/>
    </row>
    <row r="21" spans="2:24">
      <c r="N21" s="68"/>
      <c r="O21" s="68"/>
      <c r="P21" s="68"/>
      <c r="Q21" s="68"/>
      <c r="R21" s="68"/>
      <c r="S21" s="68"/>
      <c r="T21" s="68"/>
      <c r="U21" s="68"/>
      <c r="V21" s="101"/>
      <c r="W21" s="102"/>
      <c r="X21" s="112"/>
    </row>
    <row r="22" spans="2:24">
      <c r="N22" s="116"/>
      <c r="O22" s="104"/>
      <c r="P22" s="68"/>
      <c r="Q22" s="68"/>
      <c r="R22" s="68"/>
      <c r="S22" s="68"/>
      <c r="T22" s="68"/>
      <c r="U22" s="68"/>
      <c r="V22" s="68"/>
      <c r="W22" s="117"/>
      <c r="X22" s="68"/>
    </row>
    <row r="23" spans="2:24">
      <c r="N23" s="118"/>
      <c r="O23" s="118"/>
      <c r="P23" s="119"/>
      <c r="Q23" s="120"/>
      <c r="R23" s="124"/>
      <c r="S23" s="124"/>
      <c r="T23" s="119"/>
      <c r="U23" s="120"/>
      <c r="V23" s="119"/>
      <c r="W23" s="117"/>
      <c r="X23" s="68"/>
    </row>
    <row r="24" spans="2:24">
      <c r="N24" s="121"/>
      <c r="O24" s="111"/>
      <c r="P24" s="111"/>
      <c r="Q24" s="122"/>
      <c r="R24" s="111"/>
      <c r="S24" s="111"/>
      <c r="T24" s="111"/>
      <c r="U24" s="122"/>
      <c r="V24" s="111"/>
      <c r="W24" s="117"/>
      <c r="X24" s="68"/>
    </row>
    <row r="25" spans="2:24">
      <c r="N25" s="121"/>
      <c r="O25" s="111"/>
      <c r="P25" s="111"/>
      <c r="Q25" s="122"/>
      <c r="R25" s="111"/>
      <c r="S25" s="111"/>
      <c r="T25" s="111"/>
      <c r="U25" s="122"/>
      <c r="V25" s="111"/>
      <c r="W25" s="117"/>
      <c r="X25" s="68"/>
    </row>
    <row r="26" spans="2:24">
      <c r="N26" s="121"/>
      <c r="O26" s="111"/>
      <c r="P26" s="111"/>
      <c r="Q26" s="122"/>
      <c r="R26" s="111"/>
      <c r="S26" s="111"/>
      <c r="T26" s="111"/>
      <c r="U26" s="122"/>
      <c r="V26" s="111"/>
      <c r="W26" s="117"/>
      <c r="X26" s="68"/>
    </row>
    <row r="27" spans="2:24">
      <c r="N27" s="121"/>
      <c r="O27" s="111"/>
      <c r="P27" s="111"/>
      <c r="Q27" s="122"/>
      <c r="R27" s="111"/>
      <c r="S27" s="111"/>
      <c r="T27" s="111"/>
      <c r="U27" s="122"/>
      <c r="V27" s="111"/>
      <c r="W27" s="117"/>
      <c r="X27" s="68"/>
    </row>
    <row r="28" spans="2:24">
      <c r="N28" s="121"/>
      <c r="O28" s="111"/>
      <c r="P28" s="111"/>
      <c r="Q28" s="122"/>
      <c r="R28" s="111"/>
      <c r="S28" s="111"/>
      <c r="T28" s="111"/>
      <c r="U28" s="122"/>
      <c r="V28" s="111"/>
      <c r="W28" s="117"/>
      <c r="X28" s="68"/>
    </row>
    <row r="29" spans="2:24">
      <c r="N29" s="121"/>
      <c r="O29" s="111"/>
      <c r="P29" s="111"/>
      <c r="Q29" s="122"/>
      <c r="R29" s="111"/>
      <c r="S29" s="111"/>
      <c r="T29" s="111"/>
      <c r="U29" s="122"/>
      <c r="V29" s="111"/>
      <c r="W29" s="117"/>
      <c r="X29" s="68"/>
    </row>
    <row r="30" spans="2:24">
      <c r="N30" s="68"/>
      <c r="O30" s="112"/>
      <c r="P30" s="109"/>
      <c r="Q30" s="110"/>
      <c r="R30" s="111"/>
      <c r="S30" s="112"/>
      <c r="T30" s="113"/>
      <c r="U30" s="114"/>
      <c r="V30" s="112"/>
      <c r="W30" s="102"/>
      <c r="X30" s="115"/>
    </row>
    <row r="31" spans="2:24">
      <c r="N31" s="68"/>
      <c r="O31" s="68"/>
      <c r="P31" s="68"/>
      <c r="Q31" s="68"/>
      <c r="R31" s="68"/>
      <c r="S31" s="68"/>
      <c r="T31" s="68"/>
      <c r="U31" s="68"/>
      <c r="V31" s="101"/>
      <c r="W31" s="102"/>
      <c r="X31" s="112"/>
    </row>
    <row r="32" spans="2:24">
      <c r="N32" s="68"/>
      <c r="O32" s="68"/>
      <c r="P32" s="68"/>
      <c r="Q32" s="68"/>
      <c r="R32" s="68"/>
      <c r="S32" s="68"/>
      <c r="T32" s="68"/>
      <c r="U32" s="68"/>
      <c r="V32" s="68"/>
      <c r="W32" s="68"/>
      <c r="X32" s="68"/>
    </row>
    <row r="33" spans="14:24">
      <c r="N33" s="68"/>
      <c r="O33" s="102"/>
      <c r="P33" s="68"/>
      <c r="Q33" s="68"/>
      <c r="R33" s="68"/>
      <c r="S33" s="102"/>
      <c r="T33" s="68"/>
      <c r="U33" s="68"/>
      <c r="V33" s="123"/>
      <c r="W33" s="102"/>
      <c r="X33" s="68"/>
    </row>
    <row r="34" spans="14:24">
      <c r="N34" s="68"/>
      <c r="O34" s="68"/>
      <c r="P34" s="68"/>
      <c r="Q34" s="68"/>
      <c r="R34" s="68"/>
      <c r="S34" s="68"/>
      <c r="T34" s="68"/>
      <c r="U34" s="68"/>
      <c r="V34" s="68"/>
      <c r="W34" s="68"/>
      <c r="X34" s="68"/>
    </row>
  </sheetData>
  <mergeCells count="2">
    <mergeCell ref="U4:U9"/>
    <mergeCell ref="V4:V9"/>
  </mergeCells>
  <phoneticPr fontId="1"/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</vt:i4>
      </vt:variant>
    </vt:vector>
  </HeadingPairs>
  <TitlesOfParts>
    <vt:vector size="11" baseType="lpstr">
      <vt:lpstr>入力画面</vt:lpstr>
      <vt:lpstr>所得計算用シート</vt:lpstr>
      <vt:lpstr>所得計算デ</vt:lpstr>
      <vt:lpstr>給付デ</vt:lpstr>
      <vt:lpstr>給計算</vt:lpstr>
      <vt:lpstr>国デ</vt:lpstr>
      <vt:lpstr>国計算</vt:lpstr>
      <vt:lpstr>後デ</vt:lpstr>
      <vt:lpstr>後計算</vt:lpstr>
      <vt:lpstr>介デ</vt:lpstr>
      <vt:lpstr>入力画面!Print_Area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2023-10-26T04:16:49Z</dcterms:modified>
</cp:coreProperties>
</file>